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thomas/Dropbox/Traglufthalle Frauental/05_Business Case/"/>
    </mc:Choice>
  </mc:AlternateContent>
  <xr:revisionPtr revIDLastSave="0" documentId="13_ncr:1_{01AF0C45-6E54-9D46-AA58-16D0AD536A4D}" xr6:coauthVersionLast="46" xr6:coauthVersionMax="46" xr10:uidLastSave="{00000000-0000-0000-0000-000000000000}"/>
  <bookViews>
    <workbookView xWindow="5880" yWindow="460" windowWidth="42720" windowHeight="25660" tabRatio="500" activeTab="2" xr2:uid="{00000000-000D-0000-FFFF-FFFF00000000}"/>
  </bookViews>
  <sheets>
    <sheet name="Einnahmen konservativ" sheetId="2" r:id="rId1"/>
    <sheet name="Einnahmen optimistisch" sheetId="3" r:id="rId2"/>
    <sheet name="Business Case" sheetId="4" r:id="rId3"/>
    <sheet name="Liquiditätsplanung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4" l="1"/>
  <c r="C10" i="4"/>
  <c r="F22" i="4"/>
  <c r="F21" i="4"/>
  <c r="F20" i="4"/>
  <c r="F19" i="4"/>
  <c r="F18" i="4"/>
  <c r="F17" i="4"/>
  <c r="F16" i="4"/>
  <c r="F15" i="4"/>
  <c r="F14" i="4"/>
  <c r="F13" i="4"/>
  <c r="F12" i="4"/>
  <c r="F11" i="4"/>
  <c r="G58" i="4" s="1"/>
  <c r="C22" i="4"/>
  <c r="C21" i="4"/>
  <c r="C20" i="4"/>
  <c r="C19" i="4"/>
  <c r="C18" i="4"/>
  <c r="C17" i="4"/>
  <c r="C16" i="4"/>
  <c r="C15" i="4"/>
  <c r="C14" i="4"/>
  <c r="C13" i="4"/>
  <c r="C12" i="4"/>
  <c r="C9" i="4"/>
  <c r="D12" i="6"/>
  <c r="D14" i="6"/>
  <c r="E14" i="6"/>
  <c r="F14" i="6"/>
  <c r="G14" i="6"/>
  <c r="H14" i="6"/>
  <c r="B14" i="6"/>
  <c r="C14" i="6"/>
  <c r="E12" i="6"/>
  <c r="F12" i="6"/>
  <c r="B9" i="6"/>
  <c r="G26" i="4"/>
  <c r="G40" i="4"/>
  <c r="G38" i="4"/>
  <c r="G37" i="4"/>
  <c r="G28" i="4"/>
  <c r="F9" i="4"/>
  <c r="F23" i="4" l="1"/>
  <c r="C23" i="4"/>
  <c r="F27" i="4" s="1"/>
  <c r="B15" i="6"/>
  <c r="C5" i="6" s="1"/>
  <c r="C9" i="6" s="1"/>
  <c r="C15" i="6" s="1"/>
  <c r="D5" i="6" l="1"/>
  <c r="F29" i="4"/>
  <c r="G29" i="4" s="1"/>
  <c r="G30" i="4" s="1"/>
  <c r="G64" i="4" l="1"/>
  <c r="G54" i="4"/>
  <c r="D9" i="6"/>
  <c r="D15" i="6" s="1"/>
  <c r="F30" i="4"/>
  <c r="F31" i="4" s="1"/>
  <c r="E5" i="6" l="1"/>
  <c r="E9" i="6" s="1"/>
  <c r="E15" i="6" s="1"/>
  <c r="F5" i="6" l="1"/>
  <c r="F9" i="6" s="1"/>
  <c r="F15" i="6" l="1"/>
  <c r="G5" i="6" s="1"/>
  <c r="G9" i="6" s="1"/>
  <c r="G15" i="6" s="1"/>
  <c r="H5" i="6" s="1"/>
  <c r="H9" i="6" s="1"/>
  <c r="H15" i="6" l="1"/>
  <c r="I5" i="6" s="1"/>
  <c r="I9" i="6" s="1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C33" i="3" l="1"/>
  <c r="H32" i="2"/>
  <c r="H28" i="2"/>
  <c r="C33" i="2"/>
  <c r="D33" i="2"/>
  <c r="G33" i="2"/>
  <c r="H31" i="2"/>
  <c r="E33" i="2"/>
  <c r="F33" i="2"/>
  <c r="H27" i="2"/>
  <c r="H30" i="2"/>
  <c r="G33" i="3"/>
  <c r="D33" i="3"/>
  <c r="H29" i="3"/>
  <c r="H31" i="3"/>
  <c r="E33" i="3"/>
  <c r="H32" i="3"/>
  <c r="F33" i="3"/>
  <c r="H28" i="3"/>
  <c r="B33" i="3"/>
  <c r="H27" i="3"/>
  <c r="H30" i="3"/>
  <c r="H29" i="2"/>
  <c r="B33" i="2"/>
  <c r="H33" i="2" l="1"/>
  <c r="H33" i="3"/>
  <c r="C4" i="4" l="1"/>
  <c r="G33" i="4" s="1"/>
  <c r="C5" i="4"/>
  <c r="G47" i="4" l="1"/>
  <c r="G48" i="4" s="1"/>
  <c r="G59" i="4" s="1"/>
  <c r="G52" i="4"/>
  <c r="G57" i="4"/>
  <c r="G60" i="4" s="1"/>
  <c r="G49" i="4" l="1"/>
  <c r="G53" i="4"/>
  <c r="G55" i="4" s="1"/>
  <c r="G63" i="4"/>
  <c r="G65" i="4" s="1"/>
</calcChain>
</file>

<file path=xl/sharedStrings.xml><?xml version="1.0" encoding="utf-8"?>
<sst xmlns="http://schemas.openxmlformats.org/spreadsheetml/2006/main" count="168" uniqueCount="112">
  <si>
    <t>Werktags</t>
  </si>
  <si>
    <t>Wochenende</t>
  </si>
  <si>
    <t>7-10</t>
  </si>
  <si>
    <t>Okt</t>
  </si>
  <si>
    <t xml:space="preserve">Nov </t>
  </si>
  <si>
    <t>Dez</t>
  </si>
  <si>
    <t>Jan</t>
  </si>
  <si>
    <t>Feb</t>
  </si>
  <si>
    <t>Mrz</t>
  </si>
  <si>
    <t>Anzahl Plätze</t>
  </si>
  <si>
    <t>Belegungsfaktor Werktags 7-10</t>
  </si>
  <si>
    <t>Belegungsfaktor Wochenende 7-10</t>
  </si>
  <si>
    <t>Werktage pro Monat</t>
  </si>
  <si>
    <t>Weekends pro Monat</t>
  </si>
  <si>
    <t>10-18</t>
  </si>
  <si>
    <t>18-22</t>
  </si>
  <si>
    <t># Stunden</t>
  </si>
  <si>
    <t>Belegungsfaktor Werktags 10-18</t>
  </si>
  <si>
    <t>Belegungsfaktor Werktags 18-22</t>
  </si>
  <si>
    <t>Belegungsfaktor Wochenende 10-18</t>
  </si>
  <si>
    <t>Belegungsfaktor Wochenende 18-22</t>
  </si>
  <si>
    <t>Investitionen</t>
  </si>
  <si>
    <t>Total</t>
  </si>
  <si>
    <t>Heizung</t>
  </si>
  <si>
    <t>GotCourts</t>
  </si>
  <si>
    <t>Pricing</t>
  </si>
  <si>
    <t>Auslastung</t>
  </si>
  <si>
    <t>Uhrzeit</t>
  </si>
  <si>
    <t>Der Einfacheit halber wird Okt-Mrz gerechnet anstatt Mitte Oktober bis Mitte April</t>
  </si>
  <si>
    <t>Der Einfacheit halber rechnen wir mit konstant 29 Tagen pro Monat. Das ergibt 174 Betriebstage pro Jahr. Damit ist genügend Zeit, die Halle auf- und wieder abzubauen, denn sie darf nur an 180 Tagen pro Jahr stehen.</t>
  </si>
  <si>
    <t>+ Einnahmen</t>
  </si>
  <si>
    <t>Einnahmen</t>
  </si>
  <si>
    <t>Kosten</t>
  </si>
  <si>
    <t>Einnahmen Werktags 7-10</t>
  </si>
  <si>
    <t>Einnahmen Werktags 10-18</t>
  </si>
  <si>
    <t>Einnahmen Werktags 18-22</t>
  </si>
  <si>
    <t>Einnahmen Wochenende 7-10</t>
  </si>
  <si>
    <t>Einnahmen Wochenende 10-18</t>
  </si>
  <si>
    <t>Einnahmen Wochenende 18-22</t>
  </si>
  <si>
    <t>Total Einnahmen pro Jahr</t>
  </si>
  <si>
    <t>Reparaturen</t>
  </si>
  <si>
    <t>EBIT</t>
  </si>
  <si>
    <t>Zinskosten</t>
  </si>
  <si>
    <t>Finanzierung</t>
  </si>
  <si>
    <t>– Zinskosten</t>
  </si>
  <si>
    <t>Einnahmen konservativ</t>
  </si>
  <si>
    <t>Einnahmen optimistisch</t>
  </si>
  <si>
    <t>Einnahmen 6 Plätze konservativ</t>
  </si>
  <si>
    <t>Einnahmen 6 Plätze optimistisch</t>
  </si>
  <si>
    <t>Total Kosten ohne Zinsen pro Jahr</t>
  </si>
  <si>
    <t>Total Kosten mit Zinsen pro Jahr</t>
  </si>
  <si>
    <t>– Kosten ohne Zinsen</t>
  </si>
  <si>
    <t>Traglufthallen</t>
  </si>
  <si>
    <t>Total rückzahlbar</t>
  </si>
  <si>
    <t>Energie (Erschliessung + Infrastruktur)</t>
  </si>
  <si>
    <t>Baumeisterarbeiten</t>
  </si>
  <si>
    <t>Montagebau in Holz</t>
  </si>
  <si>
    <t>Honorar Spezialisten</t>
  </si>
  <si>
    <t>Gärtnerarbeiten</t>
  </si>
  <si>
    <t>Elektroanlagen</t>
  </si>
  <si>
    <t>Sanitäranlagen</t>
  </si>
  <si>
    <t>Honorar Architekt</t>
  </si>
  <si>
    <t>Spenglerarbeiten</t>
  </si>
  <si>
    <t>Einfriedungen</t>
  </si>
  <si>
    <t>Sonstige Arbeiten</t>
  </si>
  <si>
    <t>Reserve</t>
  </si>
  <si>
    <t>Bisherige Kosten (Baueingabe, Gutachten)</t>
  </si>
  <si>
    <r>
      <t>Platzmiete</t>
    </r>
    <r>
      <rPr>
        <sz val="8"/>
        <color theme="1"/>
        <rFont val="Calibri (Textkörper)"/>
      </rPr>
      <t xml:space="preserve"> (Miete zu Gunsten Sportamt / GSZ)</t>
    </r>
  </si>
  <si>
    <r>
      <t xml:space="preserve">Personal </t>
    </r>
    <r>
      <rPr>
        <sz val="8"/>
        <color theme="1"/>
        <rFont val="Calibri (Textkörper)"/>
      </rPr>
      <t>(Zum Rechten sehen, kleine Reparaturen, aufräumen, Lohn: 40 Franken brutto pro Stunde)</t>
    </r>
  </si>
  <si>
    <r>
      <t>Auf- und Abbau der Hallen</t>
    </r>
    <r>
      <rPr>
        <sz val="8"/>
        <color theme="1"/>
        <rFont val="Calibri (Textkörper)"/>
      </rPr>
      <t xml:space="preserve"> (Personal des Herstellers, gem. Angaben des Herstellers 1)</t>
    </r>
  </si>
  <si>
    <r>
      <t>Beleuchtung</t>
    </r>
    <r>
      <rPr>
        <sz val="8"/>
        <color theme="1"/>
        <rFont val="Calibri (Textkörper)"/>
      </rPr>
      <t xml:space="preserve"> (180 Betriebstage, 15 Betriebsstunden pro Tag, 18kW für 6 Plätze, 20 Rappen pro kWh)</t>
    </r>
  </si>
  <si>
    <r>
      <t xml:space="preserve">Einnahmen </t>
    </r>
    <r>
      <rPr>
        <sz val="8"/>
        <color theme="1"/>
        <rFont val="Calibri (Textkörper)"/>
      </rPr>
      <t>(Aus den anderen Sheets kopiert)</t>
    </r>
  </si>
  <si>
    <r>
      <t>Lagerung Halle im Sommer</t>
    </r>
    <r>
      <rPr>
        <sz val="8"/>
        <color theme="1"/>
        <rFont val="Calibri (Textkörper)"/>
      </rPr>
      <t xml:space="preserve"> (eigene Lagerung, ansonsten: mind. 11'000 pro Saison)</t>
    </r>
  </si>
  <si>
    <r>
      <t xml:space="preserve">Versicherungen </t>
    </r>
    <r>
      <rPr>
        <sz val="8"/>
        <color theme="1"/>
        <rFont val="Calibri (Textkörper)"/>
      </rPr>
      <t>(Fahrnisbauten)</t>
    </r>
  </si>
  <si>
    <r>
      <t xml:space="preserve">Gebläse </t>
    </r>
    <r>
      <rPr>
        <sz val="8"/>
        <color theme="1"/>
        <rFont val="Calibri (Textkörper)"/>
      </rPr>
      <t>(3x 4kW)</t>
    </r>
  </si>
  <si>
    <r>
      <t xml:space="preserve">Sport-Toto, à fond perdu </t>
    </r>
    <r>
      <rPr>
        <sz val="8"/>
        <color theme="1"/>
        <rFont val="Calibri (Textkörper)"/>
      </rPr>
      <t>(15% des Projektvolumens)</t>
    </r>
  </si>
  <si>
    <t>Verein Traglufthallen Frauental</t>
  </si>
  <si>
    <t xml:space="preserve">Business Case </t>
  </si>
  <si>
    <t>Administration (Buchhaltung, etc., 1000 pro Monat)</t>
  </si>
  <si>
    <t>Betrag</t>
  </si>
  <si>
    <t>EBT</t>
  </si>
  <si>
    <t>Darlehen Private Investoren ohne Fixplatzprivileg, 2% Zins</t>
  </si>
  <si>
    <t>Darlehen Fixlatzprivileg, 0% Zins</t>
  </si>
  <si>
    <t>Sport/Toto</t>
  </si>
  <si>
    <t>Darlehen Fixplatz 0%</t>
  </si>
  <si>
    <t>Darlehen Stadt Zürich 1.625%</t>
  </si>
  <si>
    <t>Ausgaben Bau</t>
  </si>
  <si>
    <t>Ausgaben Halle</t>
  </si>
  <si>
    <t>Liquidität am nächsten Stichtag</t>
  </si>
  <si>
    <t>Liquidität Periodenbeginn</t>
  </si>
  <si>
    <t>Planungsarbeiten, Architektenhonorare</t>
  </si>
  <si>
    <t>Bauarbeiten</t>
  </si>
  <si>
    <t>Liquidität aus Vorperiode</t>
  </si>
  <si>
    <t>Planungsarbeiten, Vorfinanzierung Bauarbeiten</t>
  </si>
  <si>
    <t>Bauarbeiten, Anzahlung Halle</t>
  </si>
  <si>
    <t>Zinsen an die Stadt Zürich</t>
  </si>
  <si>
    <t>Aktivitäten bis nächster Stichtag</t>
  </si>
  <si>
    <t>Stichtag Periodenbeginn</t>
  </si>
  <si>
    <t>Bauarbeiten, Lieferung Halle</t>
  </si>
  <si>
    <t>Abnahme Halle, Betriebsbeginn</t>
  </si>
  <si>
    <t>Darlehen Stadt Zürich 1.625% Zins</t>
  </si>
  <si>
    <t>Liquiditätsplanung</t>
  </si>
  <si>
    <t>Die Juniorenrabatte sind nicht abgebildet. Angenommenen 1/4 der Belegung wäre durch Junioren (die 25% Rabatt haben), dann sinken die Einnahmen um 1/16. Anders gesprochen müsste die Auslastung um 16/15 (6.6%) höher sein, um dieselben Einnahmen zu erzielen.</t>
  </si>
  <si>
    <t>Vor Rückforderung MwSt</t>
  </si>
  <si>
    <t>Nach Rückforderung MwSt</t>
  </si>
  <si>
    <t>MwSt.</t>
  </si>
  <si>
    <t>– Abschreibungen (Halle über 18, Infrastruktur über 30 Jahre)</t>
  </si>
  <si>
    <t>Cashflow (Ertrag ohne Abschreibungen)</t>
  </si>
  <si>
    <t>Cashflow</t>
  </si>
  <si>
    <t>– Zinsen</t>
  </si>
  <si>
    <t>EBT (Ertrag vor Steuern)</t>
  </si>
  <si>
    <t>EBIT (Ertrag vor Zinsen und Steuern)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</si>
</sst>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?\ _C_H_F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3"/>
      <color rgb="FF000000"/>
      <name val="Lucida Grande"/>
      <family val="2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Textkörper)"/>
    </font>
    <font>
      <sz val="12"/>
      <color theme="1"/>
      <name val="Calibri (Textkörper)"/>
    </font>
    <font>
      <sz val="12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/>
      <bottom style="hair">
        <color auto="1"/>
      </bottom>
      <diagonal/>
    </border>
    <border>
      <left style="thick">
        <color theme="0"/>
      </left>
      <right style="thick">
        <color theme="0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theme="0"/>
      </right>
      <top style="hair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theme="0"/>
      </right>
      <top style="hair">
        <color auto="1"/>
      </top>
      <bottom/>
      <diagonal/>
    </border>
    <border>
      <left style="thick">
        <color theme="0"/>
      </left>
      <right style="thick">
        <color theme="0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theme="0"/>
      </right>
      <top style="thin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dotted">
        <color auto="1"/>
      </bottom>
      <diagonal/>
    </border>
    <border>
      <left style="thick">
        <color theme="0"/>
      </left>
      <right style="thick">
        <color theme="0"/>
      </right>
      <top/>
      <bottom style="dotted">
        <color auto="1"/>
      </bottom>
      <diagonal/>
    </border>
    <border>
      <left style="thick">
        <color theme="0"/>
      </left>
      <right/>
      <top/>
      <bottom style="dotted">
        <color auto="1"/>
      </bottom>
      <diagonal/>
    </border>
    <border>
      <left/>
      <right style="thick">
        <color theme="0"/>
      </right>
      <top style="dotted">
        <color auto="1"/>
      </top>
      <bottom style="dotted">
        <color auto="1"/>
      </bottom>
      <diagonal/>
    </border>
    <border>
      <left style="thick">
        <color theme="0"/>
      </left>
      <right style="thick">
        <color theme="0"/>
      </right>
      <top style="dotted">
        <color auto="1"/>
      </top>
      <bottom style="dotted">
        <color auto="1"/>
      </bottom>
      <diagonal/>
    </border>
    <border>
      <left style="thick">
        <color theme="0"/>
      </left>
      <right/>
      <top style="dotted">
        <color auto="1"/>
      </top>
      <bottom style="dotted">
        <color auto="1"/>
      </bottom>
      <diagonal/>
    </border>
    <border>
      <left/>
      <right style="thick">
        <color theme="0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n">
        <color theme="1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 style="dotted">
        <color auto="1"/>
      </top>
      <bottom/>
      <diagonal/>
    </border>
    <border>
      <left/>
      <right style="thick">
        <color theme="0"/>
      </right>
      <top style="thin">
        <color auto="1"/>
      </top>
      <bottom style="dotted">
        <color auto="1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165" fontId="4" fillId="0" borderId="1" xfId="1" applyNumberFormat="1" applyFont="1" applyBorder="1"/>
    <xf numFmtId="165" fontId="3" fillId="0" borderId="0" xfId="1" applyNumberFormat="1" applyFont="1"/>
    <xf numFmtId="0" fontId="8" fillId="0" borderId="0" xfId="0" applyFont="1"/>
    <xf numFmtId="0" fontId="4" fillId="0" borderId="0" xfId="0" applyFont="1" applyBorder="1"/>
    <xf numFmtId="165" fontId="4" fillId="0" borderId="0" xfId="1" applyNumberFormat="1" applyFont="1" applyBorder="1"/>
    <xf numFmtId="165" fontId="0" fillId="0" borderId="0" xfId="0" applyNumberFormat="1"/>
    <xf numFmtId="165" fontId="9" fillId="0" borderId="0" xfId="0" applyNumberFormat="1" applyFont="1"/>
    <xf numFmtId="0" fontId="10" fillId="0" borderId="0" xfId="0" applyFont="1"/>
    <xf numFmtId="165" fontId="2" fillId="0" borderId="1" xfId="1" applyNumberFormat="1" applyFont="1" applyBorder="1"/>
    <xf numFmtId="9" fontId="0" fillId="0" borderId="0" xfId="14" applyFont="1"/>
    <xf numFmtId="9" fontId="16" fillId="0" borderId="0" xfId="17" applyNumberFormat="1" applyBorder="1"/>
    <xf numFmtId="165" fontId="16" fillId="0" borderId="0" xfId="17" applyNumberFormat="1" applyBorder="1"/>
    <xf numFmtId="0" fontId="17" fillId="0" borderId="0" xfId="0" applyFont="1"/>
    <xf numFmtId="0" fontId="18" fillId="0" borderId="0" xfId="0" applyFont="1"/>
    <xf numFmtId="0" fontId="19" fillId="0" borderId="0" xfId="0" applyFont="1" applyBorder="1"/>
    <xf numFmtId="0" fontId="0" fillId="0" borderId="0" xfId="0" applyFont="1" applyBorder="1"/>
    <xf numFmtId="0" fontId="1" fillId="3" borderId="2" xfId="16" applyBorder="1"/>
    <xf numFmtId="165" fontId="1" fillId="3" borderId="2" xfId="16" applyNumberFormat="1" applyBorder="1"/>
    <xf numFmtId="165" fontId="4" fillId="3" borderId="3" xfId="16" applyNumberFormat="1" applyFont="1" applyBorder="1"/>
    <xf numFmtId="0" fontId="1" fillId="3" borderId="3" xfId="16" applyBorder="1"/>
    <xf numFmtId="0" fontId="1" fillId="3" borderId="4" xfId="16" applyBorder="1"/>
    <xf numFmtId="165" fontId="1" fillId="3" borderId="4" xfId="16" applyNumberFormat="1" applyBorder="1"/>
    <xf numFmtId="165" fontId="4" fillId="3" borderId="5" xfId="16" applyNumberFormat="1" applyFont="1" applyBorder="1"/>
    <xf numFmtId="165" fontId="4" fillId="3" borderId="4" xfId="16" applyNumberFormat="1" applyFont="1" applyBorder="1"/>
    <xf numFmtId="0" fontId="1" fillId="3" borderId="8" xfId="16" applyBorder="1"/>
    <xf numFmtId="0" fontId="0" fillId="0" borderId="9" xfId="0" applyBorder="1"/>
    <xf numFmtId="165" fontId="1" fillId="3" borderId="10" xfId="16" applyNumberFormat="1" applyBorder="1"/>
    <xf numFmtId="0" fontId="1" fillId="3" borderId="11" xfId="16" applyBorder="1"/>
    <xf numFmtId="0" fontId="0" fillId="0" borderId="12" xfId="0" applyBorder="1"/>
    <xf numFmtId="165" fontId="1" fillId="3" borderId="13" xfId="16" applyNumberFormat="1" applyBorder="1"/>
    <xf numFmtId="165" fontId="1" fillId="3" borderId="14" xfId="16" applyNumberFormat="1" applyBorder="1"/>
    <xf numFmtId="165" fontId="1" fillId="3" borderId="11" xfId="16" applyNumberFormat="1" applyBorder="1"/>
    <xf numFmtId="0" fontId="1" fillId="3" borderId="10" xfId="16" applyBorder="1"/>
    <xf numFmtId="0" fontId="1" fillId="3" borderId="13" xfId="16" applyBorder="1"/>
    <xf numFmtId="165" fontId="1" fillId="3" borderId="17" xfId="16" applyNumberFormat="1" applyBorder="1"/>
    <xf numFmtId="0" fontId="1" fillId="3" borderId="7" xfId="16" applyBorder="1"/>
    <xf numFmtId="165" fontId="4" fillId="3" borderId="8" xfId="16" applyNumberFormat="1" applyFont="1" applyBorder="1"/>
    <xf numFmtId="0" fontId="0" fillId="0" borderId="12" xfId="0" quotePrefix="1" applyBorder="1"/>
    <xf numFmtId="0" fontId="1" fillId="3" borderId="13" xfId="16" quotePrefix="1" applyBorder="1"/>
    <xf numFmtId="165" fontId="1" fillId="3" borderId="16" xfId="16" applyNumberFormat="1" applyBorder="1"/>
    <xf numFmtId="0" fontId="6" fillId="0" borderId="6" xfId="0" applyFont="1" applyBorder="1"/>
    <xf numFmtId="0" fontId="14" fillId="3" borderId="7" xfId="16" applyFont="1" applyBorder="1" applyAlignment="1">
      <alignment horizontal="right"/>
    </xf>
    <xf numFmtId="0" fontId="14" fillId="3" borderId="8" xfId="16" applyFont="1" applyBorder="1" applyAlignment="1">
      <alignment horizontal="right"/>
    </xf>
    <xf numFmtId="0" fontId="0" fillId="0" borderId="9" xfId="0" quotePrefix="1" applyBorder="1"/>
    <xf numFmtId="0" fontId="4" fillId="0" borderId="18" xfId="0" applyFont="1" applyBorder="1"/>
    <xf numFmtId="0" fontId="1" fillId="3" borderId="19" xfId="16" applyBorder="1"/>
    <xf numFmtId="165" fontId="4" fillId="3" borderId="20" xfId="16" applyNumberFormat="1" applyFont="1" applyBorder="1"/>
    <xf numFmtId="0" fontId="4" fillId="0" borderId="15" xfId="0" applyFont="1" applyBorder="1"/>
    <xf numFmtId="0" fontId="21" fillId="0" borderId="0" xfId="0" applyFont="1"/>
    <xf numFmtId="0" fontId="1" fillId="4" borderId="0" xfId="15" applyFont="1" applyFill="1"/>
    <xf numFmtId="165" fontId="1" fillId="4" borderId="0" xfId="1" applyNumberFormat="1" applyFont="1" applyFill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5" fillId="5" borderId="0" xfId="0" quotePrefix="1" applyFont="1" applyFill="1" applyAlignment="1">
      <alignment horizontal="right"/>
    </xf>
    <xf numFmtId="16" fontId="0" fillId="5" borderId="0" xfId="0" quotePrefix="1" applyNumberFormat="1" applyFill="1"/>
    <xf numFmtId="0" fontId="0" fillId="5" borderId="0" xfId="0" quotePrefix="1" applyFill="1"/>
    <xf numFmtId="165" fontId="1" fillId="6" borderId="10" xfId="16" applyNumberFormat="1" applyFill="1" applyBorder="1"/>
    <xf numFmtId="165" fontId="1" fillId="6" borderId="11" xfId="16" applyNumberFormat="1" applyFill="1" applyBorder="1"/>
    <xf numFmtId="166" fontId="0" fillId="0" borderId="0" xfId="0" applyNumberFormat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4" fillId="0" borderId="22" xfId="1" applyNumberFormat="1" applyFont="1" applyBorder="1"/>
    <xf numFmtId="165" fontId="0" fillId="5" borderId="24" xfId="1" applyNumberFormat="1" applyFont="1" applyFill="1" applyBorder="1" applyAlignment="1"/>
    <xf numFmtId="165" fontId="0" fillId="5" borderId="25" xfId="1" applyNumberFormat="1" applyFont="1" applyFill="1" applyBorder="1" applyAlignment="1"/>
    <xf numFmtId="165" fontId="0" fillId="5" borderId="26" xfId="1" applyNumberFormat="1" applyFont="1" applyFill="1" applyBorder="1" applyAlignment="1"/>
    <xf numFmtId="165" fontId="0" fillId="5" borderId="27" xfId="1" applyNumberFormat="1" applyFont="1" applyFill="1" applyBorder="1" applyAlignment="1"/>
    <xf numFmtId="165" fontId="0" fillId="5" borderId="28" xfId="1" applyNumberFormat="1" applyFont="1" applyFill="1" applyBorder="1" applyAlignment="1"/>
    <xf numFmtId="165" fontId="0" fillId="5" borderId="29" xfId="1" applyNumberFormat="1" applyFont="1" applyFill="1" applyBorder="1" applyAlignment="1"/>
    <xf numFmtId="165" fontId="4" fillId="5" borderId="27" xfId="1" applyNumberFormat="1" applyFont="1" applyFill="1" applyBorder="1" applyAlignment="1"/>
    <xf numFmtId="165" fontId="4" fillId="5" borderId="28" xfId="1" applyNumberFormat="1" applyFont="1" applyFill="1" applyBorder="1" applyAlignment="1"/>
    <xf numFmtId="165" fontId="4" fillId="5" borderId="29" xfId="1" applyNumberFormat="1" applyFont="1" applyFill="1" applyBorder="1" applyAlignment="1"/>
    <xf numFmtId="165" fontId="0" fillId="5" borderId="27" xfId="1" applyNumberFormat="1" applyFont="1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4" fontId="4" fillId="5" borderId="30" xfId="1" applyNumberFormat="1" applyFont="1" applyFill="1" applyBorder="1" applyAlignment="1">
      <alignment horizontal="right"/>
    </xf>
    <xf numFmtId="14" fontId="4" fillId="5" borderId="31" xfId="0" applyNumberFormat="1" applyFont="1" applyFill="1" applyBorder="1" applyAlignment="1">
      <alignment horizontal="right"/>
    </xf>
    <xf numFmtId="14" fontId="4" fillId="5" borderId="32" xfId="0" applyNumberFormat="1" applyFont="1" applyFill="1" applyBorder="1" applyAlignment="1">
      <alignment horizontal="right"/>
    </xf>
    <xf numFmtId="165" fontId="6" fillId="0" borderId="0" xfId="1" applyNumberFormat="1" applyFont="1"/>
    <xf numFmtId="165" fontId="0" fillId="5" borderId="23" xfId="1" applyNumberFormat="1" applyFont="1" applyFill="1" applyBorder="1" applyAlignment="1"/>
    <xf numFmtId="165" fontId="0" fillId="0" borderId="33" xfId="1" applyNumberFormat="1" applyFont="1" applyBorder="1"/>
    <xf numFmtId="166" fontId="0" fillId="0" borderId="33" xfId="0" applyNumberFormat="1" applyBorder="1"/>
    <xf numFmtId="0" fontId="0" fillId="0" borderId="33" xfId="0" applyBorder="1"/>
    <xf numFmtId="165" fontId="4" fillId="5" borderId="34" xfId="1" applyNumberFormat="1" applyFont="1" applyFill="1" applyBorder="1" applyAlignment="1"/>
    <xf numFmtId="0" fontId="1" fillId="0" borderId="13" xfId="16" applyFill="1" applyBorder="1"/>
    <xf numFmtId="165" fontId="1" fillId="0" borderId="14" xfId="16" applyNumberFormat="1" applyFill="1" applyBorder="1"/>
    <xf numFmtId="0" fontId="19" fillId="0" borderId="0" xfId="0" applyFont="1" applyFill="1" applyBorder="1"/>
    <xf numFmtId="0" fontId="0" fillId="0" borderId="9" xfId="0" applyFill="1" applyBorder="1"/>
    <xf numFmtId="0" fontId="1" fillId="3" borderId="2" xfId="16" applyFont="1" applyBorder="1"/>
    <xf numFmtId="165" fontId="1" fillId="3" borderId="4" xfId="16" applyNumberFormat="1" applyFont="1" applyBorder="1"/>
    <xf numFmtId="0" fontId="1" fillId="0" borderId="2" xfId="16" applyFill="1" applyBorder="1"/>
    <xf numFmtId="0" fontId="1" fillId="0" borderId="4" xfId="16" applyFill="1" applyBorder="1"/>
    <xf numFmtId="0" fontId="14" fillId="0" borderId="7" xfId="16" applyFont="1" applyFill="1" applyBorder="1" applyAlignment="1">
      <alignment horizontal="right"/>
    </xf>
    <xf numFmtId="0" fontId="14" fillId="0" borderId="8" xfId="16" applyFont="1" applyFill="1" applyBorder="1" applyAlignment="1">
      <alignment horizontal="right"/>
    </xf>
    <xf numFmtId="165" fontId="1" fillId="0" borderId="10" xfId="16" applyNumberFormat="1" applyFill="1" applyBorder="1"/>
    <xf numFmtId="165" fontId="1" fillId="0" borderId="13" xfId="16" applyNumberFormat="1" applyFill="1" applyBorder="1"/>
    <xf numFmtId="165" fontId="4" fillId="0" borderId="3" xfId="16" applyNumberFormat="1" applyFont="1" applyFill="1" applyBorder="1"/>
    <xf numFmtId="165" fontId="4" fillId="0" borderId="5" xfId="16" applyNumberFormat="1" applyFont="1" applyFill="1" applyBorder="1"/>
    <xf numFmtId="165" fontId="1" fillId="0" borderId="2" xfId="16" applyNumberFormat="1" applyFill="1" applyBorder="1"/>
    <xf numFmtId="165" fontId="4" fillId="0" borderId="4" xfId="16" applyNumberFormat="1" applyFont="1" applyFill="1" applyBorder="1"/>
    <xf numFmtId="0" fontId="1" fillId="0" borderId="7" xfId="16" applyFill="1" applyBorder="1"/>
    <xf numFmtId="165" fontId="4" fillId="0" borderId="8" xfId="16" applyNumberFormat="1" applyFont="1" applyFill="1" applyBorder="1"/>
    <xf numFmtId="165" fontId="1" fillId="0" borderId="16" xfId="16" applyNumberFormat="1" applyFill="1" applyBorder="1"/>
    <xf numFmtId="165" fontId="1" fillId="0" borderId="17" xfId="16" applyNumberFormat="1" applyFill="1" applyBorder="1"/>
    <xf numFmtId="165" fontId="1" fillId="0" borderId="4" xfId="16" applyNumberFormat="1" applyFill="1" applyBorder="1"/>
    <xf numFmtId="0" fontId="1" fillId="0" borderId="10" xfId="16" applyFill="1" applyBorder="1"/>
    <xf numFmtId="165" fontId="1" fillId="0" borderId="11" xfId="16" applyNumberFormat="1" applyFill="1" applyBorder="1"/>
    <xf numFmtId="0" fontId="1" fillId="0" borderId="13" xfId="16" quotePrefix="1" applyFill="1" applyBorder="1"/>
    <xf numFmtId="0" fontId="1" fillId="0" borderId="19" xfId="16" applyFill="1" applyBorder="1"/>
    <xf numFmtId="165" fontId="4" fillId="0" borderId="20" xfId="16" applyNumberFormat="1" applyFont="1" applyFill="1" applyBorder="1"/>
    <xf numFmtId="0" fontId="1" fillId="0" borderId="2" xfId="16" applyFont="1" applyFill="1" applyBorder="1"/>
    <xf numFmtId="165" fontId="1" fillId="0" borderId="4" xfId="16" applyNumberFormat="1" applyFont="1" applyFill="1" applyBorder="1"/>
    <xf numFmtId="0" fontId="1" fillId="0" borderId="8" xfId="16" applyFill="1" applyBorder="1"/>
    <xf numFmtId="0" fontId="1" fillId="0" borderId="3" xfId="16" applyFill="1" applyBorder="1"/>
    <xf numFmtId="0" fontId="0" fillId="0" borderId="15" xfId="0" applyBorder="1"/>
    <xf numFmtId="0" fontId="1" fillId="0" borderId="16" xfId="16" applyFill="1" applyBorder="1"/>
    <xf numFmtId="0" fontId="1" fillId="3" borderId="16" xfId="16" applyBorder="1"/>
    <xf numFmtId="0" fontId="22" fillId="0" borderId="15" xfId="0" applyFont="1" applyBorder="1"/>
    <xf numFmtId="0" fontId="22" fillId="0" borderId="16" xfId="16" applyFont="1" applyFill="1" applyBorder="1"/>
    <xf numFmtId="165" fontId="22" fillId="0" borderId="17" xfId="16" applyNumberFormat="1" applyFont="1" applyFill="1" applyBorder="1"/>
    <xf numFmtId="0" fontId="22" fillId="0" borderId="0" xfId="0" applyFont="1" applyBorder="1"/>
    <xf numFmtId="0" fontId="22" fillId="3" borderId="16" xfId="16" applyFont="1" applyBorder="1"/>
    <xf numFmtId="165" fontId="22" fillId="3" borderId="17" xfId="16" applyNumberFormat="1" applyFont="1" applyBorder="1"/>
  </cellXfs>
  <cellStyles count="18">
    <cellStyle name="20 % - Akzent1" xfId="16" builtinId="30"/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Neutral" xfId="15" builtinId="28"/>
    <cellStyle name="Prozent" xfId="14" builtinId="5"/>
    <cellStyle name="Standard" xfId="0" builtinId="0"/>
    <cellStyle name="Warnender Text" xfId="17" builtinId="11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>
    <mruColors>
      <color rgb="FF009193"/>
      <color rgb="FF73FDD6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F$4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3</xdr:row>
          <xdr:rowOff>101600</xdr:rowOff>
        </xdr:from>
        <xdr:to>
          <xdr:col>5</xdr:col>
          <xdr:colOff>116417</xdr:colOff>
          <xdr:row>4</xdr:row>
          <xdr:rowOff>177800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Konservativ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4</xdr:row>
          <xdr:rowOff>50800</xdr:rowOff>
        </xdr:from>
        <xdr:to>
          <xdr:col>5</xdr:col>
          <xdr:colOff>116417</xdr:colOff>
          <xdr:row>5</xdr:row>
          <xdr:rowOff>127000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Optimistisch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</xdr:row>
          <xdr:rowOff>279400</xdr:rowOff>
        </xdr:from>
        <xdr:to>
          <xdr:col>5</xdr:col>
          <xdr:colOff>772584</xdr:colOff>
          <xdr:row>5</xdr:row>
          <xdr:rowOff>127000</xdr:rowOff>
        </xdr:to>
        <xdr:sp macro="" textlink="">
          <xdr:nvSpPr>
            <xdr:cNvPr id="4102" name="Group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Einnahmen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4"/>
  <sheetViews>
    <sheetView workbookViewId="0">
      <selection activeCell="A25" sqref="A25:XFD25"/>
    </sheetView>
  </sheetViews>
  <sheetFormatPr baseColWidth="10" defaultRowHeight="16" x14ac:dyDescent="0.2"/>
  <cols>
    <col min="1" max="1" width="34.83203125" bestFit="1" customWidth="1"/>
    <col min="2" max="2" width="19.1640625" bestFit="1" customWidth="1"/>
    <col min="3" max="3" width="14" bestFit="1" customWidth="1"/>
    <col min="4" max="8" width="11" bestFit="1" customWidth="1"/>
  </cols>
  <sheetData>
    <row r="1" spans="1:7" s="4" customFormat="1" ht="61" customHeight="1" x14ac:dyDescent="0.3">
      <c r="A1" s="20" t="s">
        <v>47</v>
      </c>
    </row>
    <row r="2" spans="1:7" ht="57" customHeight="1" x14ac:dyDescent="0.3">
      <c r="A2" s="4" t="s">
        <v>31</v>
      </c>
    </row>
    <row r="3" spans="1:7" s="10" customFormat="1" ht="17" customHeight="1" x14ac:dyDescent="0.2">
      <c r="A3" s="10" t="s">
        <v>29</v>
      </c>
    </row>
    <row r="4" spans="1:7" x14ac:dyDescent="0.2">
      <c r="A4" t="s">
        <v>9</v>
      </c>
      <c r="B4">
        <v>6</v>
      </c>
    </row>
    <row r="5" spans="1:7" x14ac:dyDescent="0.2">
      <c r="A5" t="s">
        <v>12</v>
      </c>
      <c r="B5">
        <v>21</v>
      </c>
    </row>
    <row r="6" spans="1:7" x14ac:dyDescent="0.2">
      <c r="A6" t="s">
        <v>13</v>
      </c>
      <c r="B6">
        <v>8</v>
      </c>
    </row>
    <row r="8" spans="1:7" x14ac:dyDescent="0.2">
      <c r="A8" s="60" t="s">
        <v>25</v>
      </c>
      <c r="B8" s="59"/>
      <c r="C8" s="59"/>
      <c r="D8" s="59"/>
    </row>
    <row r="9" spans="1:7" x14ac:dyDescent="0.2">
      <c r="A9" s="61" t="s">
        <v>27</v>
      </c>
      <c r="B9" s="62" t="s">
        <v>0</v>
      </c>
      <c r="C9" s="62" t="s">
        <v>1</v>
      </c>
      <c r="D9" s="63" t="s">
        <v>16</v>
      </c>
    </row>
    <row r="10" spans="1:7" x14ac:dyDescent="0.2">
      <c r="A10" s="64" t="s">
        <v>2</v>
      </c>
      <c r="B10" s="59">
        <v>30</v>
      </c>
      <c r="C10" s="59">
        <v>30</v>
      </c>
      <c r="D10" s="59">
        <v>3</v>
      </c>
    </row>
    <row r="11" spans="1:7" x14ac:dyDescent="0.2">
      <c r="A11" s="65" t="s">
        <v>14</v>
      </c>
      <c r="B11" s="59">
        <v>40</v>
      </c>
      <c r="C11" s="59">
        <v>40</v>
      </c>
      <c r="D11" s="59">
        <v>8</v>
      </c>
    </row>
    <row r="12" spans="1:7" x14ac:dyDescent="0.2">
      <c r="A12" s="65" t="s">
        <v>15</v>
      </c>
      <c r="B12" s="59">
        <v>50</v>
      </c>
      <c r="C12" s="59">
        <v>30</v>
      </c>
      <c r="D12" s="59">
        <v>4</v>
      </c>
    </row>
    <row r="14" spans="1:7" ht="28" customHeight="1" x14ac:dyDescent="0.2">
      <c r="A14" s="3" t="s">
        <v>26</v>
      </c>
    </row>
    <row r="15" spans="1:7" s="10" customFormat="1" ht="17" customHeight="1" x14ac:dyDescent="0.2">
      <c r="A15" s="10" t="s">
        <v>28</v>
      </c>
    </row>
    <row r="16" spans="1:7" x14ac:dyDescent="0.2"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</row>
    <row r="17" spans="1:8" x14ac:dyDescent="0.2">
      <c r="A17" t="s">
        <v>10</v>
      </c>
      <c r="B17" s="1">
        <v>0.25</v>
      </c>
      <c r="C17" s="1">
        <v>0.25</v>
      </c>
      <c r="D17" s="1">
        <v>0.25</v>
      </c>
      <c r="E17" s="1">
        <v>0.25</v>
      </c>
      <c r="F17" s="1">
        <v>0.25</v>
      </c>
      <c r="G17" s="1">
        <v>0.25</v>
      </c>
    </row>
    <row r="18" spans="1:8" x14ac:dyDescent="0.2">
      <c r="A18" t="s">
        <v>17</v>
      </c>
      <c r="B18" s="1">
        <v>0.5</v>
      </c>
      <c r="C18" s="1">
        <v>0.5</v>
      </c>
      <c r="D18" s="1">
        <v>0.5</v>
      </c>
      <c r="E18" s="1">
        <v>0.5</v>
      </c>
      <c r="F18" s="1">
        <v>0.5</v>
      </c>
      <c r="G18" s="1">
        <v>0.5</v>
      </c>
    </row>
    <row r="19" spans="1:8" x14ac:dyDescent="0.2">
      <c r="A19" t="s">
        <v>18</v>
      </c>
      <c r="B19" s="1">
        <v>0.5</v>
      </c>
      <c r="C19" s="1">
        <v>0.75</v>
      </c>
      <c r="D19" s="1">
        <v>0.75</v>
      </c>
      <c r="E19" s="1">
        <v>0.75</v>
      </c>
      <c r="F19" s="1">
        <v>0.75</v>
      </c>
      <c r="G19" s="1">
        <v>0.75</v>
      </c>
    </row>
    <row r="20" spans="1:8" x14ac:dyDescent="0.2">
      <c r="A20" t="s">
        <v>11</v>
      </c>
      <c r="B20" s="1">
        <v>0.25</v>
      </c>
      <c r="C20" s="1">
        <v>0.25</v>
      </c>
      <c r="D20" s="1">
        <v>0.25</v>
      </c>
      <c r="E20" s="1">
        <v>0.25</v>
      </c>
      <c r="F20" s="1">
        <v>0.25</v>
      </c>
      <c r="G20" s="1">
        <v>0.25</v>
      </c>
    </row>
    <row r="21" spans="1:8" x14ac:dyDescent="0.2">
      <c r="A21" t="s">
        <v>19</v>
      </c>
      <c r="B21" s="1">
        <v>0.5</v>
      </c>
      <c r="C21" s="1">
        <v>0.5</v>
      </c>
      <c r="D21" s="1">
        <v>0.5</v>
      </c>
      <c r="E21" s="1">
        <v>0.5</v>
      </c>
      <c r="F21" s="1">
        <v>0.5</v>
      </c>
      <c r="G21" s="1">
        <v>0.5</v>
      </c>
    </row>
    <row r="22" spans="1:8" x14ac:dyDescent="0.2">
      <c r="A22" t="s">
        <v>20</v>
      </c>
      <c r="B22" s="1">
        <v>0.25</v>
      </c>
      <c r="C22" s="1">
        <v>0.25</v>
      </c>
      <c r="D22" s="1">
        <v>0.25</v>
      </c>
      <c r="E22" s="1">
        <v>0.25</v>
      </c>
      <c r="F22" s="1">
        <v>0.25</v>
      </c>
      <c r="G22" s="1">
        <v>0.25</v>
      </c>
    </row>
    <row r="24" spans="1:8" ht="28" customHeight="1" x14ac:dyDescent="0.2">
      <c r="A24" s="3" t="s">
        <v>31</v>
      </c>
    </row>
    <row r="25" spans="1:8" x14ac:dyDescent="0.2">
      <c r="A25" s="10" t="s">
        <v>102</v>
      </c>
      <c r="B25" s="10"/>
      <c r="C25" s="10"/>
      <c r="D25" s="10"/>
    </row>
    <row r="26" spans="1:8" x14ac:dyDescent="0.2">
      <c r="A26" s="3"/>
      <c r="B26" s="6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22</v>
      </c>
    </row>
    <row r="27" spans="1:8" x14ac:dyDescent="0.2">
      <c r="A27" t="s">
        <v>33</v>
      </c>
      <c r="B27" s="2">
        <f>$B$4*$B$5*$B10*$D10*B17</f>
        <v>2835</v>
      </c>
      <c r="C27" s="2">
        <f>$B$4*$B$5*$B10*$D10*C17</f>
        <v>2835</v>
      </c>
      <c r="D27" s="2">
        <f>$B$4*$B$5*$B10*$D10*D17</f>
        <v>2835</v>
      </c>
      <c r="E27" s="2">
        <f>$B$4*$B$5*$B10*$D10*E17</f>
        <v>2835</v>
      </c>
      <c r="F27" s="2">
        <f>$B$4*$B$5*$B10*$D10*F17</f>
        <v>2835</v>
      </c>
      <c r="G27" s="2">
        <f>$B$4*$B$5*$B10*$D10*G17</f>
        <v>2835</v>
      </c>
      <c r="H27" s="9">
        <f>SUM(B27:G27)</f>
        <v>17010</v>
      </c>
    </row>
    <row r="28" spans="1:8" x14ac:dyDescent="0.2">
      <c r="A28" t="s">
        <v>34</v>
      </c>
      <c r="B28" s="2">
        <f>$B$4*$B$5*$B11*$D11*B18</f>
        <v>20160</v>
      </c>
      <c r="C28" s="2">
        <f>$B$4*$B$5*$B11*$D11*C18</f>
        <v>20160</v>
      </c>
      <c r="D28" s="2">
        <f>$B$4*$B$5*$B11*$D11*D18</f>
        <v>20160</v>
      </c>
      <c r="E28" s="2">
        <f>$B$4*$B$5*$B11*$D11*E18</f>
        <v>20160</v>
      </c>
      <c r="F28" s="2">
        <f>$B$4*$B$5*$B11*$D11*F18</f>
        <v>20160</v>
      </c>
      <c r="G28" s="2">
        <f>$B$4*$B$5*$B11*$D11*G18</f>
        <v>20160</v>
      </c>
      <c r="H28" s="9">
        <f t="shared" ref="H28:H32" si="0">SUM(B28:G28)</f>
        <v>120960</v>
      </c>
    </row>
    <row r="29" spans="1:8" x14ac:dyDescent="0.2">
      <c r="A29" t="s">
        <v>35</v>
      </c>
      <c r="B29" s="2">
        <f>$B$4*$B$5*$B12*$D12*B19</f>
        <v>12600</v>
      </c>
      <c r="C29" s="2">
        <f>$B$4*$B$5*$B12*$D12*C19</f>
        <v>18900</v>
      </c>
      <c r="D29" s="2">
        <f>$B$4*$B$5*$B12*$D12*D19</f>
        <v>18900</v>
      </c>
      <c r="E29" s="2">
        <f>$B$4*$B$5*$B12*$D12*E19</f>
        <v>18900</v>
      </c>
      <c r="F29" s="2">
        <f>$B$4*$B$5*$B12*$D12*F19</f>
        <v>18900</v>
      </c>
      <c r="G29" s="2">
        <f>$B$4*$B$5*$B12*$D12*G19</f>
        <v>18900</v>
      </c>
      <c r="H29" s="9">
        <f t="shared" si="0"/>
        <v>107100</v>
      </c>
    </row>
    <row r="30" spans="1:8" x14ac:dyDescent="0.2">
      <c r="A30" t="s">
        <v>36</v>
      </c>
      <c r="B30" s="2">
        <f>$B$4*$B$6*$C10*$D10*B20</f>
        <v>1080</v>
      </c>
      <c r="C30" s="2">
        <f>$B$4*$B$6*$C10*$D10*C20</f>
        <v>1080</v>
      </c>
      <c r="D30" s="2">
        <f>$B$4*$B$6*$C10*$D10*D20</f>
        <v>1080</v>
      </c>
      <c r="E30" s="2">
        <f>$B$4*$B$6*$C10*$D10*E20</f>
        <v>1080</v>
      </c>
      <c r="F30" s="2">
        <f>$B$4*$B$6*$C10*$D10*F20</f>
        <v>1080</v>
      </c>
      <c r="G30" s="2">
        <f>$B$4*$B$6*$C10*$D10*G20</f>
        <v>1080</v>
      </c>
      <c r="H30" s="9">
        <f t="shared" si="0"/>
        <v>6480</v>
      </c>
    </row>
    <row r="31" spans="1:8" x14ac:dyDescent="0.2">
      <c r="A31" t="s">
        <v>37</v>
      </c>
      <c r="B31" s="2">
        <f>$B$4*$B$6*$C11*$D11*B21</f>
        <v>7680</v>
      </c>
      <c r="C31" s="2">
        <f>$B$4*$B$6*$C11*$D11*C21</f>
        <v>7680</v>
      </c>
      <c r="D31" s="2">
        <f>$B$4*$B$6*$C11*$D11*D21</f>
        <v>7680</v>
      </c>
      <c r="E31" s="2">
        <f>$B$4*$B$6*$C11*$D11*E21</f>
        <v>7680</v>
      </c>
      <c r="F31" s="2">
        <f>$B$4*$B$6*$C11*$D11*F21</f>
        <v>7680</v>
      </c>
      <c r="G31" s="2">
        <f>$B$4*$B$6*$C11*$D11*G21</f>
        <v>7680</v>
      </c>
      <c r="H31" s="9">
        <f t="shared" si="0"/>
        <v>46080</v>
      </c>
    </row>
    <row r="32" spans="1:8" x14ac:dyDescent="0.2">
      <c r="A32" t="s">
        <v>38</v>
      </c>
      <c r="B32" s="2">
        <f>$B$4*$B$6*$C12*$D12*B22</f>
        <v>1440</v>
      </c>
      <c r="C32" s="2">
        <f>$B$4*$B$6*$C12*$D12*C22</f>
        <v>1440</v>
      </c>
      <c r="D32" s="2">
        <f>$B$4*$B$6*$C12*$D12*D22</f>
        <v>1440</v>
      </c>
      <c r="E32" s="2">
        <f>$B$4*$B$6*$C12*$D12*E22</f>
        <v>1440</v>
      </c>
      <c r="F32" s="2">
        <f>$B$4*$B$6*$C12*$D12*F22</f>
        <v>1440</v>
      </c>
      <c r="G32" s="2">
        <f>$B$4*$B$6*$C12*$D12*G22</f>
        <v>1440</v>
      </c>
      <c r="H32" s="9">
        <f t="shared" si="0"/>
        <v>8640</v>
      </c>
    </row>
    <row r="33" spans="1:8" ht="28" customHeight="1" x14ac:dyDescent="0.2">
      <c r="A33" s="7" t="s">
        <v>39</v>
      </c>
      <c r="B33" s="16">
        <f>SUM(B27:B32)</f>
        <v>45795</v>
      </c>
      <c r="C33" s="16">
        <f t="shared" ref="C33:G33" si="1">SUM(C27:C32)</f>
        <v>52095</v>
      </c>
      <c r="D33" s="16">
        <f t="shared" si="1"/>
        <v>52095</v>
      </c>
      <c r="E33" s="16">
        <f t="shared" si="1"/>
        <v>52095</v>
      </c>
      <c r="F33" s="16">
        <f t="shared" si="1"/>
        <v>52095</v>
      </c>
      <c r="G33" s="16">
        <f t="shared" si="1"/>
        <v>52095</v>
      </c>
      <c r="H33" s="8">
        <f>SUM(H27:H32)</f>
        <v>306270</v>
      </c>
    </row>
    <row r="34" spans="1:8" ht="17" customHeight="1" x14ac:dyDescent="0.2">
      <c r="A34" s="11"/>
      <c r="B34" s="12"/>
      <c r="C34" s="12"/>
      <c r="D34" s="12"/>
      <c r="E34" s="12"/>
      <c r="F34" s="12"/>
      <c r="G34" s="12"/>
      <c r="H3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W36"/>
  <sheetViews>
    <sheetView workbookViewId="0">
      <selection activeCell="E39" sqref="E39"/>
    </sheetView>
  </sheetViews>
  <sheetFormatPr baseColWidth="10" defaultRowHeight="16" x14ac:dyDescent="0.2"/>
  <cols>
    <col min="1" max="1" width="34.83203125" bestFit="1" customWidth="1"/>
    <col min="2" max="2" width="19.1640625" bestFit="1" customWidth="1"/>
    <col min="3" max="3" width="14" bestFit="1" customWidth="1"/>
    <col min="4" max="8" width="11" bestFit="1" customWidth="1"/>
  </cols>
  <sheetData>
    <row r="1" spans="1:7" s="4" customFormat="1" ht="61" customHeight="1" x14ac:dyDescent="0.3">
      <c r="A1" s="20" t="s">
        <v>48</v>
      </c>
    </row>
    <row r="2" spans="1:7" ht="57" customHeight="1" x14ac:dyDescent="0.3">
      <c r="A2" s="4" t="s">
        <v>31</v>
      </c>
    </row>
    <row r="3" spans="1:7" s="10" customFormat="1" ht="17" customHeight="1" x14ac:dyDescent="0.2">
      <c r="A3" s="10" t="s">
        <v>29</v>
      </c>
    </row>
    <row r="4" spans="1:7" x14ac:dyDescent="0.2">
      <c r="A4" t="s">
        <v>9</v>
      </c>
      <c r="B4">
        <v>6</v>
      </c>
    </row>
    <row r="5" spans="1:7" x14ac:dyDescent="0.2">
      <c r="A5" t="s">
        <v>12</v>
      </c>
      <c r="B5">
        <v>21</v>
      </c>
    </row>
    <row r="6" spans="1:7" x14ac:dyDescent="0.2">
      <c r="A6" t="s">
        <v>13</v>
      </c>
      <c r="B6">
        <v>8</v>
      </c>
    </row>
    <row r="8" spans="1:7" ht="28" customHeight="1" x14ac:dyDescent="0.2">
      <c r="A8" s="60" t="s">
        <v>25</v>
      </c>
      <c r="B8" s="59"/>
      <c r="C8" s="59"/>
      <c r="D8" s="59"/>
    </row>
    <row r="9" spans="1:7" x14ac:dyDescent="0.2">
      <c r="A9" s="61" t="s">
        <v>27</v>
      </c>
      <c r="B9" s="62" t="s">
        <v>0</v>
      </c>
      <c r="C9" s="62" t="s">
        <v>1</v>
      </c>
      <c r="D9" s="63" t="s">
        <v>16</v>
      </c>
    </row>
    <row r="10" spans="1:7" x14ac:dyDescent="0.2">
      <c r="A10" s="64" t="s">
        <v>2</v>
      </c>
      <c r="B10" s="59">
        <v>30</v>
      </c>
      <c r="C10" s="59">
        <v>30</v>
      </c>
      <c r="D10" s="59">
        <v>3</v>
      </c>
    </row>
    <row r="11" spans="1:7" x14ac:dyDescent="0.2">
      <c r="A11" s="65" t="s">
        <v>14</v>
      </c>
      <c r="B11" s="59">
        <v>40</v>
      </c>
      <c r="C11" s="59">
        <v>40</v>
      </c>
      <c r="D11" s="59">
        <v>8</v>
      </c>
    </row>
    <row r="12" spans="1:7" x14ac:dyDescent="0.2">
      <c r="A12" s="65" t="s">
        <v>15</v>
      </c>
      <c r="B12" s="59">
        <v>50</v>
      </c>
      <c r="C12" s="59">
        <v>30</v>
      </c>
      <c r="D12" s="59">
        <v>4</v>
      </c>
    </row>
    <row r="14" spans="1:7" ht="28" customHeight="1" x14ac:dyDescent="0.2">
      <c r="A14" s="3" t="s">
        <v>26</v>
      </c>
    </row>
    <row r="15" spans="1:7" s="10" customFormat="1" ht="17" customHeight="1" x14ac:dyDescent="0.2">
      <c r="A15" s="10" t="s">
        <v>28</v>
      </c>
    </row>
    <row r="16" spans="1:7" x14ac:dyDescent="0.2"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</row>
    <row r="17" spans="1:8" x14ac:dyDescent="0.2">
      <c r="A17" t="s">
        <v>10</v>
      </c>
      <c r="B17" s="1">
        <v>0.5</v>
      </c>
      <c r="C17" s="1">
        <v>0.5</v>
      </c>
      <c r="D17" s="1">
        <v>0.5</v>
      </c>
      <c r="E17" s="1">
        <v>0.5</v>
      </c>
      <c r="F17" s="1">
        <v>0.5</v>
      </c>
      <c r="G17" s="1">
        <v>0.5</v>
      </c>
    </row>
    <row r="18" spans="1:8" x14ac:dyDescent="0.2">
      <c r="A18" t="s">
        <v>17</v>
      </c>
      <c r="B18" s="1">
        <v>0.75</v>
      </c>
      <c r="C18" s="1">
        <v>0.75</v>
      </c>
      <c r="D18" s="1">
        <v>0.75</v>
      </c>
      <c r="E18" s="1">
        <v>0.75</v>
      </c>
      <c r="F18" s="1">
        <v>0.75</v>
      </c>
      <c r="G18" s="1">
        <v>0.75</v>
      </c>
    </row>
    <row r="19" spans="1:8" x14ac:dyDescent="0.2">
      <c r="A19" t="s">
        <v>18</v>
      </c>
      <c r="B19" s="1">
        <v>0.9</v>
      </c>
      <c r="C19" s="1">
        <v>0.9</v>
      </c>
      <c r="D19" s="1">
        <v>0.9</v>
      </c>
      <c r="E19" s="1">
        <v>0.9</v>
      </c>
      <c r="F19" s="1">
        <v>0.9</v>
      </c>
      <c r="G19" s="1">
        <v>0.9</v>
      </c>
    </row>
    <row r="20" spans="1:8" x14ac:dyDescent="0.2">
      <c r="A20" t="s">
        <v>11</v>
      </c>
      <c r="B20" s="1">
        <v>0.25</v>
      </c>
      <c r="C20" s="1">
        <v>0.25</v>
      </c>
      <c r="D20" s="1">
        <v>0.25</v>
      </c>
      <c r="E20" s="1">
        <v>0.25</v>
      </c>
      <c r="F20" s="1">
        <v>0.25</v>
      </c>
      <c r="G20" s="1">
        <v>0.25</v>
      </c>
    </row>
    <row r="21" spans="1:8" x14ac:dyDescent="0.2">
      <c r="A21" t="s">
        <v>19</v>
      </c>
      <c r="B21" s="1">
        <v>0.75</v>
      </c>
      <c r="C21" s="1">
        <v>0.75</v>
      </c>
      <c r="D21" s="1">
        <v>0.75</v>
      </c>
      <c r="E21" s="1">
        <v>0.75</v>
      </c>
      <c r="F21" s="1">
        <v>0.75</v>
      </c>
      <c r="G21" s="1">
        <v>0.75</v>
      </c>
    </row>
    <row r="22" spans="1:8" x14ac:dyDescent="0.2">
      <c r="A22" t="s">
        <v>20</v>
      </c>
      <c r="B22" s="1">
        <v>0.5</v>
      </c>
      <c r="C22" s="1">
        <v>0.5</v>
      </c>
      <c r="D22" s="1">
        <v>0.5</v>
      </c>
      <c r="E22" s="1">
        <v>0.5</v>
      </c>
      <c r="F22" s="1">
        <v>0.5</v>
      </c>
      <c r="G22" s="1">
        <v>0.5</v>
      </c>
    </row>
    <row r="24" spans="1:8" ht="28" customHeight="1" x14ac:dyDescent="0.2">
      <c r="A24" s="3" t="s">
        <v>31</v>
      </c>
    </row>
    <row r="25" spans="1:8" x14ac:dyDescent="0.2">
      <c r="A25" s="10" t="s">
        <v>102</v>
      </c>
      <c r="B25" s="10"/>
      <c r="C25" s="10"/>
      <c r="D25" s="10"/>
    </row>
    <row r="26" spans="1:8" x14ac:dyDescent="0.2">
      <c r="A26" s="3"/>
      <c r="B26" s="6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22</v>
      </c>
    </row>
    <row r="27" spans="1:8" x14ac:dyDescent="0.2">
      <c r="A27" t="s">
        <v>33</v>
      </c>
      <c r="B27" s="2">
        <f>$B$4*$B$5*$B10*$D10*B17</f>
        <v>5670</v>
      </c>
      <c r="C27" s="2">
        <f>$B$4*$B$5*$B10*$D10*C17</f>
        <v>5670</v>
      </c>
      <c r="D27" s="2">
        <f>$B$4*$B$5*$B10*$D10*D17</f>
        <v>5670</v>
      </c>
      <c r="E27" s="2">
        <f>$B$4*$B$5*$B10*$D10*E17</f>
        <v>5670</v>
      </c>
      <c r="F27" s="2">
        <f>$B$4*$B$5*$B10*$D10*F17</f>
        <v>5670</v>
      </c>
      <c r="G27" s="2">
        <f>$B$4*$B$5*$B10*$D10*G17</f>
        <v>5670</v>
      </c>
      <c r="H27" s="9">
        <f>SUM(B27:G27)</f>
        <v>34020</v>
      </c>
    </row>
    <row r="28" spans="1:8" x14ac:dyDescent="0.2">
      <c r="A28" t="s">
        <v>34</v>
      </c>
      <c r="B28" s="2">
        <f>$B$4*$B$5*$B11*$D11*B18</f>
        <v>30240</v>
      </c>
      <c r="C28" s="2">
        <f>$B$4*$B$5*$B11*$D11*C18</f>
        <v>30240</v>
      </c>
      <c r="D28" s="2">
        <f>$B$4*$B$5*$B11*$D11*D18</f>
        <v>30240</v>
      </c>
      <c r="E28" s="2">
        <f>$B$4*$B$5*$B11*$D11*E18</f>
        <v>30240</v>
      </c>
      <c r="F28" s="2">
        <f>$B$4*$B$5*$B11*$D11*F18</f>
        <v>30240</v>
      </c>
      <c r="G28" s="2">
        <f>$B$4*$B$5*$B11*$D11*G18</f>
        <v>30240</v>
      </c>
      <c r="H28" s="9">
        <f t="shared" ref="H28:H32" si="0">SUM(B28:G28)</f>
        <v>181440</v>
      </c>
    </row>
    <row r="29" spans="1:8" x14ac:dyDescent="0.2">
      <c r="A29" t="s">
        <v>35</v>
      </c>
      <c r="B29" s="2">
        <f>$B$4*$B$5*$B12*$D12*B19</f>
        <v>22680</v>
      </c>
      <c r="C29" s="2">
        <f>$B$4*$B$5*$B12*$D12*C19</f>
        <v>22680</v>
      </c>
      <c r="D29" s="2">
        <f>$B$4*$B$5*$B12*$D12*D19</f>
        <v>22680</v>
      </c>
      <c r="E29" s="2">
        <f>$B$4*$B$5*$B12*$D12*E19</f>
        <v>22680</v>
      </c>
      <c r="F29" s="2">
        <f>$B$4*$B$5*$B12*$D12*F19</f>
        <v>22680</v>
      </c>
      <c r="G29" s="2">
        <f>$B$4*$B$5*$B12*$D12*G19</f>
        <v>22680</v>
      </c>
      <c r="H29" s="9">
        <f t="shared" si="0"/>
        <v>136080</v>
      </c>
    </row>
    <row r="30" spans="1:8" x14ac:dyDescent="0.2">
      <c r="A30" t="s">
        <v>36</v>
      </c>
      <c r="B30" s="2">
        <f>$B$4*$B$6*$C10*$D10*B20</f>
        <v>1080</v>
      </c>
      <c r="C30" s="2">
        <f>$B$4*$B$6*$C10*$D10*C20</f>
        <v>1080</v>
      </c>
      <c r="D30" s="2">
        <f>$B$4*$B$6*$C10*$D10*D20</f>
        <v>1080</v>
      </c>
      <c r="E30" s="2">
        <f>$B$4*$B$6*$C10*$D10*E20</f>
        <v>1080</v>
      </c>
      <c r="F30" s="2">
        <f>$B$4*$B$6*$C10*$D10*F20</f>
        <v>1080</v>
      </c>
      <c r="G30" s="2">
        <f>$B$4*$B$6*$C10*$D10*G20</f>
        <v>1080</v>
      </c>
      <c r="H30" s="9">
        <f t="shared" si="0"/>
        <v>6480</v>
      </c>
    </row>
    <row r="31" spans="1:8" x14ac:dyDescent="0.2">
      <c r="A31" t="s">
        <v>37</v>
      </c>
      <c r="B31" s="2">
        <f>$B$4*$B$6*$C11*$D11*B21</f>
        <v>11520</v>
      </c>
      <c r="C31" s="2">
        <f>$B$4*$B$6*$C11*$D11*C21</f>
        <v>11520</v>
      </c>
      <c r="D31" s="2">
        <f>$B$4*$B$6*$C11*$D11*D21</f>
        <v>11520</v>
      </c>
      <c r="E31" s="2">
        <f>$B$4*$B$6*$C11*$D11*E21</f>
        <v>11520</v>
      </c>
      <c r="F31" s="2">
        <f>$B$4*$B$6*$C11*$D11*F21</f>
        <v>11520</v>
      </c>
      <c r="G31" s="2">
        <f>$B$4*$B$6*$C11*$D11*G21</f>
        <v>11520</v>
      </c>
      <c r="H31" s="9">
        <f t="shared" si="0"/>
        <v>69120</v>
      </c>
    </row>
    <row r="32" spans="1:8" x14ac:dyDescent="0.2">
      <c r="A32" t="s">
        <v>38</v>
      </c>
      <c r="B32" s="2">
        <f>$B$4*$B$6*$C12*$D12*B22</f>
        <v>2880</v>
      </c>
      <c r="C32" s="2">
        <f>$B$4*$B$6*$C12*$D12*C22</f>
        <v>2880</v>
      </c>
      <c r="D32" s="2">
        <f>$B$4*$B$6*$C12*$D12*D22</f>
        <v>2880</v>
      </c>
      <c r="E32" s="2">
        <f>$B$4*$B$6*$C12*$D12*E22</f>
        <v>2880</v>
      </c>
      <c r="F32" s="2">
        <f>$B$4*$B$6*$C12*$D12*F22</f>
        <v>2880</v>
      </c>
      <c r="G32" s="2">
        <f>$B$4*$B$6*$C12*$D12*G22</f>
        <v>2880</v>
      </c>
      <c r="H32" s="9">
        <f t="shared" si="0"/>
        <v>17280</v>
      </c>
    </row>
    <row r="33" spans="1:23" ht="28" customHeight="1" x14ac:dyDescent="0.2">
      <c r="A33" s="7" t="s">
        <v>39</v>
      </c>
      <c r="B33" s="16">
        <f>SUM(B27:B32)</f>
        <v>74070</v>
      </c>
      <c r="C33" s="16">
        <f t="shared" ref="C33:G33" si="1">SUM(C27:C32)</f>
        <v>74070</v>
      </c>
      <c r="D33" s="16">
        <f t="shared" si="1"/>
        <v>74070</v>
      </c>
      <c r="E33" s="16">
        <f t="shared" si="1"/>
        <v>74070</v>
      </c>
      <c r="F33" s="16">
        <f t="shared" si="1"/>
        <v>74070</v>
      </c>
      <c r="G33" s="16">
        <f t="shared" si="1"/>
        <v>74070</v>
      </c>
      <c r="H33" s="8">
        <f>SUM(H27:H32)</f>
        <v>444420</v>
      </c>
    </row>
    <row r="34" spans="1:23" ht="17" customHeight="1" x14ac:dyDescent="0.2">
      <c r="A34" s="11"/>
      <c r="B34" s="12"/>
      <c r="C34" s="12"/>
      <c r="D34" s="12"/>
      <c r="E34" s="12"/>
      <c r="F34" s="12"/>
      <c r="G34" s="12"/>
      <c r="H34" s="12"/>
    </row>
    <row r="35" spans="1:23" x14ac:dyDescent="0.2">
      <c r="B35" s="13"/>
    </row>
    <row r="36" spans="1:23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X73"/>
  <sheetViews>
    <sheetView tabSelected="1" zoomScale="120" zoomScaleNormal="120" workbookViewId="0">
      <selection activeCell="L25" sqref="L25"/>
    </sheetView>
  </sheetViews>
  <sheetFormatPr baseColWidth="10" defaultRowHeight="16" x14ac:dyDescent="0.2"/>
  <cols>
    <col min="1" max="1" width="1.1640625" customWidth="1"/>
    <col min="2" max="2" width="59.33203125" customWidth="1"/>
    <col min="3" max="3" width="21.5" bestFit="1" customWidth="1"/>
    <col min="4" max="4" width="20.5" customWidth="1"/>
    <col min="5" max="5" width="1.83203125" customWidth="1"/>
    <col min="6" max="6" width="20.83203125" customWidth="1"/>
    <col min="7" max="7" width="20.5" customWidth="1"/>
    <col min="8" max="8" width="3.6640625" customWidth="1"/>
    <col min="9" max="9" width="11" bestFit="1" customWidth="1"/>
    <col min="10" max="10" width="4.6640625" bestFit="1" customWidth="1"/>
    <col min="11" max="11" width="6.1640625" bestFit="1" customWidth="1"/>
    <col min="12" max="12" width="9.5" customWidth="1"/>
    <col min="13" max="13" width="17" bestFit="1" customWidth="1"/>
  </cols>
  <sheetData>
    <row r="1" spans="2:13" s="4" customFormat="1" ht="24" x14ac:dyDescent="0.3">
      <c r="B1" s="15" t="s">
        <v>76</v>
      </c>
    </row>
    <row r="2" spans="2:13" s="4" customFormat="1" ht="24" x14ac:dyDescent="0.3">
      <c r="B2" s="56" t="s">
        <v>77</v>
      </c>
    </row>
    <row r="3" spans="2:13" s="4" customFormat="1" ht="24" x14ac:dyDescent="0.3">
      <c r="B3" s="15"/>
    </row>
    <row r="4" spans="2:13" s="4" customFormat="1" ht="24" x14ac:dyDescent="0.3">
      <c r="B4" s="57" t="s">
        <v>45</v>
      </c>
      <c r="C4" s="58">
        <f>'Einnahmen konservativ'!H33</f>
        <v>306270</v>
      </c>
      <c r="F4" s="21">
        <v>2</v>
      </c>
    </row>
    <row r="5" spans="2:13" s="4" customFormat="1" ht="24" x14ac:dyDescent="0.3">
      <c r="B5" s="57" t="s">
        <v>46</v>
      </c>
      <c r="C5" s="58">
        <f>'Einnahmen optimistisch'!H33</f>
        <v>444420</v>
      </c>
    </row>
    <row r="6" spans="2:13" s="4" customFormat="1" ht="24" x14ac:dyDescent="0.3">
      <c r="B6" s="15"/>
    </row>
    <row r="7" spans="2:13" s="4" customFormat="1" ht="24" x14ac:dyDescent="0.3">
      <c r="B7" s="15"/>
      <c r="C7" s="4" t="s">
        <v>103</v>
      </c>
      <c r="F7" s="4" t="s">
        <v>104</v>
      </c>
    </row>
    <row r="8" spans="2:13" ht="24" x14ac:dyDescent="0.3">
      <c r="B8" s="4" t="s">
        <v>21</v>
      </c>
      <c r="C8" s="24"/>
      <c r="D8" s="28"/>
      <c r="F8" s="24"/>
      <c r="G8" s="28"/>
    </row>
    <row r="9" spans="2:13" ht="16" customHeight="1" x14ac:dyDescent="0.2">
      <c r="B9" s="33" t="s">
        <v>66</v>
      </c>
      <c r="C9" s="34">
        <f>12000+9000+5000+4000</f>
        <v>30000</v>
      </c>
      <c r="D9" s="35"/>
      <c r="F9" s="34">
        <f>12000+9000+5000+4000</f>
        <v>30000</v>
      </c>
      <c r="G9" s="35"/>
    </row>
    <row r="10" spans="2:13" ht="16" customHeight="1" x14ac:dyDescent="0.2">
      <c r="B10" s="33" t="s">
        <v>52</v>
      </c>
      <c r="C10" s="34">
        <f>3*290000*1.077</f>
        <v>936990</v>
      </c>
      <c r="D10" s="35"/>
      <c r="E10" s="5"/>
      <c r="F10" s="34">
        <f>3*290000</f>
        <v>870000</v>
      </c>
      <c r="G10" s="35"/>
      <c r="I10" s="22"/>
      <c r="J10" s="18"/>
      <c r="K10" s="22"/>
      <c r="L10" s="19"/>
      <c r="M10" s="22"/>
    </row>
    <row r="11" spans="2:13" ht="16" customHeight="1" x14ac:dyDescent="0.2">
      <c r="B11" s="33" t="s">
        <v>54</v>
      </c>
      <c r="C11" s="66">
        <v>610000</v>
      </c>
      <c r="D11" s="35"/>
      <c r="E11" s="5"/>
      <c r="F11" s="66">
        <f>610000/1.077</f>
        <v>566388.11513463326</v>
      </c>
      <c r="G11" s="35"/>
      <c r="I11" s="22"/>
      <c r="J11" s="18"/>
      <c r="K11" s="22"/>
      <c r="L11" s="19"/>
      <c r="M11" s="22"/>
    </row>
    <row r="12" spans="2:13" ht="16" customHeight="1" x14ac:dyDescent="0.2">
      <c r="B12" s="33" t="s">
        <v>55</v>
      </c>
      <c r="C12" s="34">
        <f>431700*1.077</f>
        <v>464940.89999999997</v>
      </c>
      <c r="D12" s="35"/>
      <c r="E12" s="5"/>
      <c r="F12" s="34">
        <f>431700</f>
        <v>431700</v>
      </c>
      <c r="G12" s="35"/>
      <c r="I12" s="22"/>
      <c r="J12" s="18"/>
      <c r="K12" s="22"/>
      <c r="L12" s="19"/>
      <c r="M12" s="22"/>
    </row>
    <row r="13" spans="2:13" ht="16" customHeight="1" x14ac:dyDescent="0.2">
      <c r="B13" s="33" t="s">
        <v>56</v>
      </c>
      <c r="C13" s="34">
        <f>113000*1.077</f>
        <v>121701</v>
      </c>
      <c r="D13" s="35"/>
      <c r="E13" s="5"/>
      <c r="F13" s="34">
        <f>113000</f>
        <v>113000</v>
      </c>
      <c r="G13" s="35"/>
      <c r="I13" s="22"/>
      <c r="J13" s="18"/>
      <c r="K13" s="22"/>
      <c r="L13" s="19"/>
      <c r="M13" s="22"/>
    </row>
    <row r="14" spans="2:13" ht="16" customHeight="1" x14ac:dyDescent="0.2">
      <c r="B14" s="33" t="s">
        <v>59</v>
      </c>
      <c r="C14" s="34">
        <f>49000*1.077</f>
        <v>52773</v>
      </c>
      <c r="D14" s="35"/>
      <c r="E14" s="5"/>
      <c r="F14" s="34">
        <f>49000</f>
        <v>49000</v>
      </c>
      <c r="G14" s="35"/>
      <c r="I14" s="22"/>
      <c r="J14" s="18"/>
      <c r="K14" s="22"/>
      <c r="L14" s="19"/>
      <c r="M14" s="22"/>
    </row>
    <row r="15" spans="2:13" ht="16" customHeight="1" x14ac:dyDescent="0.2">
      <c r="B15" s="33" t="s">
        <v>60</v>
      </c>
      <c r="C15" s="34">
        <f>37000*1.077</f>
        <v>39849</v>
      </c>
      <c r="D15" s="35"/>
      <c r="E15" s="5"/>
      <c r="F15" s="34">
        <f>37000</f>
        <v>37000</v>
      </c>
      <c r="G15" s="35"/>
      <c r="I15" s="22"/>
      <c r="J15" s="18"/>
      <c r="K15" s="22"/>
      <c r="L15" s="19"/>
      <c r="M15" s="22"/>
    </row>
    <row r="16" spans="2:13" ht="16" customHeight="1" x14ac:dyDescent="0.2">
      <c r="B16" s="33" t="s">
        <v>62</v>
      </c>
      <c r="C16" s="34">
        <f>18900*1.077</f>
        <v>20355.3</v>
      </c>
      <c r="D16" s="35"/>
      <c r="E16" s="5"/>
      <c r="F16" s="34">
        <f>18900</f>
        <v>18900</v>
      </c>
      <c r="G16" s="35"/>
      <c r="I16" s="22"/>
      <c r="J16" s="18"/>
      <c r="K16" s="22"/>
      <c r="L16" s="19"/>
      <c r="M16" s="22"/>
    </row>
    <row r="17" spans="2:13" ht="16" customHeight="1" x14ac:dyDescent="0.2">
      <c r="B17" s="33" t="s">
        <v>63</v>
      </c>
      <c r="C17" s="34">
        <f>32600*1.077</f>
        <v>35110.199999999997</v>
      </c>
      <c r="D17" s="35"/>
      <c r="E17" s="5"/>
      <c r="F17" s="34">
        <f>32600</f>
        <v>32600</v>
      </c>
      <c r="G17" s="35"/>
      <c r="I17" s="22"/>
      <c r="J17" s="18"/>
      <c r="K17" s="22"/>
      <c r="L17" s="19"/>
      <c r="M17" s="22"/>
    </row>
    <row r="18" spans="2:13" ht="16" customHeight="1" x14ac:dyDescent="0.2">
      <c r="B18" s="33" t="s">
        <v>58</v>
      </c>
      <c r="C18" s="34">
        <f>58000*1.077</f>
        <v>62466</v>
      </c>
      <c r="D18" s="35"/>
      <c r="E18" s="5"/>
      <c r="F18" s="34">
        <f>58000</f>
        <v>58000</v>
      </c>
      <c r="G18" s="35"/>
      <c r="I18" s="22"/>
      <c r="J18" s="18"/>
      <c r="K18" s="22"/>
      <c r="L18" s="19"/>
      <c r="M18" s="22"/>
    </row>
    <row r="19" spans="2:13" ht="16" customHeight="1" x14ac:dyDescent="0.2">
      <c r="B19" s="33" t="s">
        <v>64</v>
      </c>
      <c r="C19" s="34">
        <f>(2000+9000+2100+2000+2500+3000+4500+5000+5000+2000+2000+2000)*1.077</f>
        <v>44264.7</v>
      </c>
      <c r="D19" s="35"/>
      <c r="E19" s="5"/>
      <c r="F19" s="34">
        <f>(2000+9000+2100+2000+2500+3000+4500+5000+5000+2000+2000+2000)</f>
        <v>41100</v>
      </c>
      <c r="G19" s="35"/>
      <c r="I19" s="22"/>
      <c r="J19" s="18"/>
      <c r="K19" s="22"/>
      <c r="L19" s="19"/>
      <c r="M19" s="22"/>
    </row>
    <row r="20" spans="2:13" ht="16" customHeight="1" x14ac:dyDescent="0.2">
      <c r="B20" s="33" t="s">
        <v>61</v>
      </c>
      <c r="C20" s="34">
        <f>47250*1.077</f>
        <v>50888.25</v>
      </c>
      <c r="D20" s="35"/>
      <c r="E20" s="5"/>
      <c r="F20" s="34">
        <f>47250</f>
        <v>47250</v>
      </c>
      <c r="G20" s="35"/>
      <c r="I20" s="22"/>
      <c r="J20" s="18"/>
      <c r="K20" s="22"/>
      <c r="L20" s="19"/>
      <c r="M20" s="22"/>
    </row>
    <row r="21" spans="2:13" ht="16" customHeight="1" x14ac:dyDescent="0.2">
      <c r="B21" s="33" t="s">
        <v>57</v>
      </c>
      <c r="C21" s="34">
        <f>75000*1.077</f>
        <v>80775</v>
      </c>
      <c r="D21" s="35"/>
      <c r="E21" s="5"/>
      <c r="F21" s="34">
        <f>75000</f>
        <v>75000</v>
      </c>
      <c r="G21" s="35"/>
      <c r="I21" s="22"/>
      <c r="J21" s="18"/>
      <c r="K21" s="22"/>
      <c r="L21" s="19"/>
      <c r="M21" s="22"/>
    </row>
    <row r="22" spans="2:13" ht="16" customHeight="1" x14ac:dyDescent="0.2">
      <c r="B22" s="36" t="s">
        <v>65</v>
      </c>
      <c r="C22" s="37">
        <f>108550*1.077</f>
        <v>116908.34999999999</v>
      </c>
      <c r="D22" s="38"/>
      <c r="E22" s="22"/>
      <c r="F22" s="37">
        <f>108550</f>
        <v>108550</v>
      </c>
      <c r="G22" s="38"/>
    </row>
    <row r="23" spans="2:13" ht="20" customHeight="1" x14ac:dyDescent="0.2">
      <c r="B23" s="7" t="s">
        <v>22</v>
      </c>
      <c r="C23" s="26">
        <f>SUM(C9:C22)</f>
        <v>2667021.7000000002</v>
      </c>
      <c r="D23" s="30"/>
      <c r="E23" s="22"/>
      <c r="F23" s="26">
        <f>SUM(F9:F22)</f>
        <v>2478488.1151346331</v>
      </c>
      <c r="G23" s="30"/>
      <c r="I23" s="22"/>
      <c r="J23" s="22"/>
      <c r="K23" s="22"/>
      <c r="L23" s="22"/>
      <c r="M23" s="22"/>
    </row>
    <row r="24" spans="2:13" ht="16" customHeight="1" x14ac:dyDescent="0.2">
      <c r="B24" s="3"/>
      <c r="C24" s="99"/>
      <c r="D24" s="100"/>
      <c r="E24" s="22"/>
      <c r="F24" s="24"/>
      <c r="G24" s="28"/>
    </row>
    <row r="25" spans="2:13" ht="24" x14ac:dyDescent="0.3">
      <c r="B25" s="48" t="s">
        <v>43</v>
      </c>
      <c r="C25" s="101"/>
      <c r="D25" s="102"/>
      <c r="E25" s="22"/>
      <c r="F25" s="49" t="s">
        <v>79</v>
      </c>
      <c r="G25" s="50" t="s">
        <v>42</v>
      </c>
    </row>
    <row r="26" spans="2:13" ht="16" customHeight="1" x14ac:dyDescent="0.2">
      <c r="B26" s="96" t="s">
        <v>100</v>
      </c>
      <c r="C26" s="103"/>
      <c r="D26" s="103"/>
      <c r="E26" s="95"/>
      <c r="F26" s="34">
        <v>1630000</v>
      </c>
      <c r="G26" s="34">
        <f>F26*0.01625</f>
        <v>26487.5</v>
      </c>
    </row>
    <row r="27" spans="2:13" ht="16" customHeight="1" x14ac:dyDescent="0.2">
      <c r="B27" s="33" t="s">
        <v>75</v>
      </c>
      <c r="C27" s="103"/>
      <c r="D27" s="103"/>
      <c r="E27" s="22"/>
      <c r="F27" s="34">
        <f>C23*0.15</f>
        <v>400053.255</v>
      </c>
      <c r="G27" s="34">
        <v>0</v>
      </c>
    </row>
    <row r="28" spans="2:13" ht="16" customHeight="1" x14ac:dyDescent="0.2">
      <c r="B28" s="33" t="s">
        <v>81</v>
      </c>
      <c r="C28" s="103"/>
      <c r="D28" s="103"/>
      <c r="E28" s="22"/>
      <c r="F28" s="34">
        <v>0</v>
      </c>
      <c r="G28" s="34">
        <f>F28*0.02</f>
        <v>0</v>
      </c>
    </row>
    <row r="29" spans="2:13" ht="16" customHeight="1" x14ac:dyDescent="0.2">
      <c r="B29" s="36" t="s">
        <v>82</v>
      </c>
      <c r="C29" s="104"/>
      <c r="D29" s="94"/>
      <c r="E29" s="22"/>
      <c r="F29" s="37">
        <f>F23-F26-F27-F28</f>
        <v>448434.86013463314</v>
      </c>
      <c r="G29" s="38">
        <f>0*F29</f>
        <v>0</v>
      </c>
    </row>
    <row r="30" spans="2:13" ht="20" customHeight="1" x14ac:dyDescent="0.2">
      <c r="B30" s="7" t="s">
        <v>22</v>
      </c>
      <c r="C30" s="105"/>
      <c r="D30" s="106"/>
      <c r="E30" s="22"/>
      <c r="F30" s="26">
        <f>SUM(F26:F29)</f>
        <v>2478488.1151346331</v>
      </c>
      <c r="G30" s="30">
        <f>SUM(G26:G29)</f>
        <v>26487.5</v>
      </c>
    </row>
    <row r="31" spans="2:13" ht="16" customHeight="1" x14ac:dyDescent="0.2">
      <c r="B31" s="23" t="s">
        <v>53</v>
      </c>
      <c r="C31" s="107"/>
      <c r="D31" s="108"/>
      <c r="E31" s="22"/>
      <c r="F31" s="25">
        <f>F30-F27</f>
        <v>2078434.8601346333</v>
      </c>
      <c r="G31" s="31"/>
    </row>
    <row r="32" spans="2:13" x14ac:dyDescent="0.2">
      <c r="C32" s="99"/>
      <c r="D32" s="100"/>
      <c r="E32" s="22"/>
      <c r="F32" s="24"/>
      <c r="G32" s="28"/>
    </row>
    <row r="33" spans="2:10" ht="38" customHeight="1" x14ac:dyDescent="0.3">
      <c r="B33" s="48" t="s">
        <v>71</v>
      </c>
      <c r="C33" s="109"/>
      <c r="D33" s="110"/>
      <c r="E33" s="22"/>
      <c r="F33" s="43"/>
      <c r="G33" s="44">
        <f>IF($F4=1,$C4,$C5)</f>
        <v>444420</v>
      </c>
    </row>
    <row r="34" spans="2:10" ht="16" customHeight="1" x14ac:dyDescent="0.2">
      <c r="B34" s="55"/>
      <c r="C34" s="111"/>
      <c r="D34" s="112"/>
      <c r="E34" s="22"/>
      <c r="F34" s="47"/>
      <c r="G34" s="42"/>
      <c r="H34" s="12"/>
      <c r="J34" s="12"/>
    </row>
    <row r="35" spans="2:10" ht="38" customHeight="1" x14ac:dyDescent="0.3">
      <c r="B35" s="4" t="s">
        <v>32</v>
      </c>
      <c r="C35" s="99"/>
      <c r="D35" s="113"/>
      <c r="E35" s="22"/>
      <c r="F35" s="24"/>
      <c r="G35" s="29"/>
    </row>
    <row r="36" spans="2:10" ht="16" customHeight="1" x14ac:dyDescent="0.2">
      <c r="B36" s="33" t="s">
        <v>23</v>
      </c>
      <c r="C36" s="114"/>
      <c r="D36" s="115"/>
      <c r="E36" s="22"/>
      <c r="F36" s="40"/>
      <c r="G36" s="67">
        <v>40000</v>
      </c>
    </row>
    <row r="37" spans="2:10" ht="16" customHeight="1" x14ac:dyDescent="0.2">
      <c r="B37" s="33" t="s">
        <v>70</v>
      </c>
      <c r="C37" s="114"/>
      <c r="D37" s="115"/>
      <c r="E37" s="22"/>
      <c r="F37" s="40"/>
      <c r="G37" s="39">
        <f>ROUNDUP(18*15*180*0.2/1000,1)*1000</f>
        <v>9799.9999999999982</v>
      </c>
    </row>
    <row r="38" spans="2:10" ht="16" customHeight="1" x14ac:dyDescent="0.2">
      <c r="B38" s="33" t="s">
        <v>74</v>
      </c>
      <c r="C38" s="114"/>
      <c r="D38" s="115"/>
      <c r="E38" s="22"/>
      <c r="F38" s="40"/>
      <c r="G38" s="39">
        <f>ROUNDUP(3*180*24*4*0.2/1000,1)*1000</f>
        <v>10400</v>
      </c>
    </row>
    <row r="39" spans="2:10" ht="16" customHeight="1" x14ac:dyDescent="0.2">
      <c r="B39" s="33" t="s">
        <v>67</v>
      </c>
      <c r="C39" s="114"/>
      <c r="D39" s="115"/>
      <c r="E39" s="22"/>
      <c r="F39" s="40"/>
      <c r="G39" s="39">
        <v>24000</v>
      </c>
    </row>
    <row r="40" spans="2:10" ht="16" customHeight="1" x14ac:dyDescent="0.2">
      <c r="B40" s="33" t="s">
        <v>68</v>
      </c>
      <c r="C40" s="114"/>
      <c r="D40" s="115"/>
      <c r="E40" s="22"/>
      <c r="F40" s="40"/>
      <c r="G40" s="39">
        <f>40*180*2</f>
        <v>14400</v>
      </c>
    </row>
    <row r="41" spans="2:10" ht="16" customHeight="1" x14ac:dyDescent="0.2">
      <c r="B41" s="33" t="s">
        <v>24</v>
      </c>
      <c r="C41" s="114"/>
      <c r="D41" s="115"/>
      <c r="E41" s="22"/>
      <c r="F41" s="40"/>
      <c r="G41" s="39">
        <v>1000</v>
      </c>
    </row>
    <row r="42" spans="2:10" ht="16" customHeight="1" x14ac:dyDescent="0.2">
      <c r="B42" s="33" t="s">
        <v>69</v>
      </c>
      <c r="C42" s="114"/>
      <c r="D42" s="115"/>
      <c r="E42" s="22"/>
      <c r="F42" s="40"/>
      <c r="G42" s="39">
        <v>8000</v>
      </c>
      <c r="I42" s="5"/>
    </row>
    <row r="43" spans="2:10" ht="16" customHeight="1" x14ac:dyDescent="0.2">
      <c r="B43" s="33" t="s">
        <v>78</v>
      </c>
      <c r="C43" s="114"/>
      <c r="D43" s="115"/>
      <c r="E43" s="22"/>
      <c r="F43" s="40"/>
      <c r="G43" s="39">
        <v>12000</v>
      </c>
    </row>
    <row r="44" spans="2:10" ht="16" customHeight="1" x14ac:dyDescent="0.2">
      <c r="B44" s="33" t="s">
        <v>72</v>
      </c>
      <c r="C44" s="114"/>
      <c r="D44" s="115"/>
      <c r="E44" s="22"/>
      <c r="F44" s="40"/>
      <c r="G44" s="39">
        <v>0</v>
      </c>
    </row>
    <row r="45" spans="2:10" ht="16" customHeight="1" x14ac:dyDescent="0.2">
      <c r="B45" s="33" t="s">
        <v>73</v>
      </c>
      <c r="C45" s="114"/>
      <c r="D45" s="115"/>
      <c r="E45" s="22"/>
      <c r="F45" s="40"/>
      <c r="G45" s="39">
        <v>12000</v>
      </c>
    </row>
    <row r="46" spans="2:10" ht="16" customHeight="1" x14ac:dyDescent="0.2">
      <c r="B46" s="33" t="s">
        <v>40</v>
      </c>
      <c r="C46" s="114"/>
      <c r="D46" s="115"/>
      <c r="E46" s="22"/>
      <c r="F46" s="40"/>
      <c r="G46" s="39">
        <v>18000</v>
      </c>
    </row>
    <row r="47" spans="2:10" ht="16" customHeight="1" x14ac:dyDescent="0.2">
      <c r="B47" s="123" t="s">
        <v>105</v>
      </c>
      <c r="C47" s="124"/>
      <c r="D47" s="112"/>
      <c r="E47" s="22"/>
      <c r="F47" s="125"/>
      <c r="G47" s="42">
        <f>0.077*G33</f>
        <v>34220.339999999997</v>
      </c>
    </row>
    <row r="48" spans="2:10" ht="20" customHeight="1" x14ac:dyDescent="0.2">
      <c r="B48" s="52" t="s">
        <v>49</v>
      </c>
      <c r="C48" s="117"/>
      <c r="D48" s="118"/>
      <c r="E48" s="22"/>
      <c r="F48" s="53"/>
      <c r="G48" s="54">
        <f>SUM(G36:G47)</f>
        <v>183820.34</v>
      </c>
    </row>
    <row r="49" spans="2:15" x14ac:dyDescent="0.2">
      <c r="B49" s="126" t="s">
        <v>50</v>
      </c>
      <c r="C49" s="127"/>
      <c r="D49" s="128"/>
      <c r="E49" s="129"/>
      <c r="F49" s="130"/>
      <c r="G49" s="131">
        <f>G48+G30</f>
        <v>210307.84</v>
      </c>
    </row>
    <row r="50" spans="2:15" x14ac:dyDescent="0.2">
      <c r="B50" s="23"/>
      <c r="C50" s="119"/>
      <c r="D50" s="120"/>
      <c r="E50" s="22"/>
      <c r="F50" s="97"/>
      <c r="G50" s="98"/>
    </row>
    <row r="51" spans="2:15" ht="37" customHeight="1" x14ac:dyDescent="0.3">
      <c r="B51" s="48" t="s">
        <v>107</v>
      </c>
      <c r="C51" s="99"/>
      <c r="D51" s="100"/>
      <c r="E51" s="22"/>
      <c r="F51" s="24"/>
      <c r="G51" s="28"/>
    </row>
    <row r="52" spans="2:15" ht="16" customHeight="1" x14ac:dyDescent="0.2">
      <c r="B52" s="51" t="s">
        <v>30</v>
      </c>
      <c r="C52" s="114"/>
      <c r="D52" s="115"/>
      <c r="E52" s="22"/>
      <c r="F52" s="40"/>
      <c r="G52" s="39">
        <f>G33</f>
        <v>444420</v>
      </c>
    </row>
    <row r="53" spans="2:15" ht="16" customHeight="1" x14ac:dyDescent="0.2">
      <c r="B53" s="51" t="s">
        <v>51</v>
      </c>
      <c r="C53" s="114"/>
      <c r="D53" s="115"/>
      <c r="E53" s="22"/>
      <c r="F53" s="40"/>
      <c r="G53" s="39">
        <f>-G48</f>
        <v>-183820.34</v>
      </c>
    </row>
    <row r="54" spans="2:15" ht="16" customHeight="1" x14ac:dyDescent="0.2">
      <c r="B54" s="45" t="s">
        <v>109</v>
      </c>
      <c r="C54" s="116"/>
      <c r="D54" s="94"/>
      <c r="E54" s="22"/>
      <c r="F54" s="46"/>
      <c r="G54" s="38">
        <f>-G30</f>
        <v>-26487.5</v>
      </c>
    </row>
    <row r="55" spans="2:15" ht="20" customHeight="1" x14ac:dyDescent="0.2">
      <c r="B55" s="7" t="s">
        <v>108</v>
      </c>
      <c r="C55" s="122"/>
      <c r="D55" s="106"/>
      <c r="E55" s="22"/>
      <c r="F55" s="27"/>
      <c r="G55" s="30">
        <f>SUM(G52:G54)</f>
        <v>234112.16</v>
      </c>
    </row>
    <row r="56" spans="2:15" ht="38" customHeight="1" x14ac:dyDescent="0.3">
      <c r="B56" s="48" t="s">
        <v>111</v>
      </c>
      <c r="C56" s="109"/>
      <c r="D56" s="121"/>
      <c r="E56" s="22"/>
      <c r="F56" s="43"/>
      <c r="G56" s="32"/>
    </row>
    <row r="57" spans="2:15" ht="16" customHeight="1" x14ac:dyDescent="0.2">
      <c r="B57" s="51" t="s">
        <v>30</v>
      </c>
      <c r="C57" s="114"/>
      <c r="D57" s="115"/>
      <c r="E57" s="22"/>
      <c r="F57" s="40"/>
      <c r="G57" s="39">
        <f>G33</f>
        <v>444420</v>
      </c>
    </row>
    <row r="58" spans="2:15" ht="16" customHeight="1" x14ac:dyDescent="0.2">
      <c r="B58" s="51" t="s">
        <v>106</v>
      </c>
      <c r="C58" s="114"/>
      <c r="D58" s="115"/>
      <c r="E58" s="22"/>
      <c r="F58" s="40"/>
      <c r="G58" s="39">
        <f>-F10/18-SUM(F11:F22)/30</f>
        <v>-100949.60383782111</v>
      </c>
      <c r="N58" s="13"/>
      <c r="O58" s="13"/>
    </row>
    <row r="59" spans="2:15" ht="16" customHeight="1" x14ac:dyDescent="0.2">
      <c r="B59" s="51" t="s">
        <v>51</v>
      </c>
      <c r="C59" s="114"/>
      <c r="D59" s="115"/>
      <c r="E59" s="22"/>
      <c r="F59" s="40"/>
      <c r="G59" s="39">
        <f>-G48</f>
        <v>-183820.34</v>
      </c>
      <c r="N59" s="13"/>
      <c r="O59" s="13"/>
    </row>
    <row r="60" spans="2:15" ht="20" customHeight="1" x14ac:dyDescent="0.2">
      <c r="B60" s="7" t="s">
        <v>80</v>
      </c>
      <c r="C60" s="122"/>
      <c r="D60" s="106"/>
      <c r="E60" s="22"/>
      <c r="F60" s="27"/>
      <c r="G60" s="30">
        <f>SUM(G57:G59)</f>
        <v>159650.05616217889</v>
      </c>
    </row>
    <row r="61" spans="2:15" ht="16" customHeight="1" x14ac:dyDescent="0.2">
      <c r="C61" s="99"/>
      <c r="D61" s="100"/>
      <c r="E61" s="22"/>
      <c r="F61" s="24"/>
      <c r="G61" s="28"/>
    </row>
    <row r="62" spans="2:15" ht="38" customHeight="1" x14ac:dyDescent="0.3">
      <c r="B62" s="48" t="s">
        <v>110</v>
      </c>
      <c r="C62" s="109"/>
      <c r="D62" s="121"/>
      <c r="E62" s="22"/>
      <c r="F62" s="43"/>
      <c r="G62" s="32"/>
    </row>
    <row r="63" spans="2:15" ht="16" customHeight="1" x14ac:dyDescent="0.2">
      <c r="B63" s="33" t="s">
        <v>41</v>
      </c>
      <c r="C63" s="114"/>
      <c r="D63" s="115"/>
      <c r="E63" s="22"/>
      <c r="F63" s="40"/>
      <c r="G63" s="39">
        <f>G60</f>
        <v>159650.05616217889</v>
      </c>
    </row>
    <row r="64" spans="2:15" ht="16" customHeight="1" x14ac:dyDescent="0.2">
      <c r="B64" s="36" t="s">
        <v>44</v>
      </c>
      <c r="C64" s="93"/>
      <c r="D64" s="94"/>
      <c r="E64" s="22"/>
      <c r="F64" s="41"/>
      <c r="G64" s="38">
        <f>-G30</f>
        <v>-26487.5</v>
      </c>
    </row>
    <row r="65" spans="2:24" ht="20" customHeight="1" x14ac:dyDescent="0.2">
      <c r="B65" s="7" t="s">
        <v>80</v>
      </c>
      <c r="C65" s="122"/>
      <c r="D65" s="106"/>
      <c r="E65" s="22"/>
      <c r="F65" s="27"/>
      <c r="G65" s="30">
        <f>G63+G64</f>
        <v>133162.55616217889</v>
      </c>
    </row>
    <row r="66" spans="2:24" x14ac:dyDescent="0.2">
      <c r="C66" s="13"/>
    </row>
    <row r="67" spans="2:24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71" spans="2:24" x14ac:dyDescent="0.2">
      <c r="D71" s="13"/>
      <c r="G71" s="13"/>
    </row>
    <row r="72" spans="2:24" x14ac:dyDescent="0.2">
      <c r="D72" s="2"/>
      <c r="E72" s="2"/>
      <c r="F72" s="2"/>
      <c r="G72" s="2"/>
    </row>
    <row r="73" spans="2:24" x14ac:dyDescent="0.2">
      <c r="D73" s="2"/>
      <c r="E73" s="2"/>
      <c r="F73" s="2"/>
      <c r="G73" s="2"/>
      <c r="H73" s="17"/>
    </row>
  </sheetData>
  <scenarios current="0" show="0" sqref="G15 J15 B18 B19 B20 C54">
    <scenario name="Hersteller1" locked="1" count="2" user="Microsoft Office-Anwender" comment="Erstellt von Microsoft Office-Anwender am 03.07.2018_x000d_Modifiziert von Microsoft Office-Anwender am 03.07.2018">
      <inputCells r="C10" val="1026000"/>
      <inputCells r="F10" val="924000"/>
    </scenario>
    <scenario name="Hersteller2" locked="1" count="2" user="Microsoft Office-Anwender" comment="Erstellt von Microsoft Office-Anwender am 03.07.2018_x000d_Modifiziert von Microsoft Office-Anwender am 03.07.2018">
      <inputCells r="C10" val="600000"/>
      <inputCells r="F10" val="538000"/>
    </scenario>
  </scenarios>
  <conditionalFormatting sqref="G65">
    <cfRule type="cellIs" dxfId="3" priority="4" operator="lessThan">
      <formula>0</formula>
    </cfRule>
  </conditionalFormatting>
  <conditionalFormatting sqref="G48:G50">
    <cfRule type="cellIs" dxfId="2" priority="3" operator="lessThan">
      <formula>0</formula>
    </cfRule>
  </conditionalFormatting>
  <conditionalFormatting sqref="D65">
    <cfRule type="cellIs" dxfId="1" priority="2" operator="lessThan">
      <formula>0</formula>
    </cfRule>
  </conditionalFormatting>
  <conditionalFormatting sqref="D48:D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Option Button 3">
              <controlPr defaultSize="0" autoFill="0" autoLine="0" autoPict="0">
                <anchor moveWithCells="1">
                  <from>
                    <xdr:col>3</xdr:col>
                    <xdr:colOff>292100</xdr:colOff>
                    <xdr:row>3</xdr:row>
                    <xdr:rowOff>101600</xdr:rowOff>
                  </from>
                  <to>
                    <xdr:col>5</xdr:col>
                    <xdr:colOff>114300</xdr:colOff>
                    <xdr:row>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Option Button 4">
              <controlPr defaultSize="0" autoFill="0" autoLine="0" autoPict="0">
                <anchor moveWithCells="1">
                  <from>
                    <xdr:col>3</xdr:col>
                    <xdr:colOff>292100</xdr:colOff>
                    <xdr:row>4</xdr:row>
                    <xdr:rowOff>50800</xdr:rowOff>
                  </from>
                  <to>
                    <xdr:col>5</xdr:col>
                    <xdr:colOff>114300</xdr:colOff>
                    <xdr:row>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Group Box 6">
              <controlPr defaultSize="0" autoFill="0" autoPict="0">
                <anchor moveWithCells="1">
                  <from>
                    <xdr:col>3</xdr:col>
                    <xdr:colOff>190500</xdr:colOff>
                    <xdr:row>2</xdr:row>
                    <xdr:rowOff>279400</xdr:rowOff>
                  </from>
                  <to>
                    <xdr:col>5</xdr:col>
                    <xdr:colOff>774700</xdr:colOff>
                    <xdr:row>5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76D3-0E7D-1144-BA37-AFA304B9C3D8}">
  <dimension ref="A1:I50"/>
  <sheetViews>
    <sheetView zoomScale="120" zoomScaleNormal="120" workbookViewId="0">
      <selection activeCell="A14" sqref="A14:XFD14"/>
    </sheetView>
  </sheetViews>
  <sheetFormatPr baseColWidth="10" defaultRowHeight="16" x14ac:dyDescent="0.2"/>
  <cols>
    <col min="1" max="1" width="30.5" style="2" customWidth="1"/>
    <col min="2" max="2" width="20.83203125" style="2" customWidth="1"/>
    <col min="3" max="9" width="20.83203125" customWidth="1"/>
    <col min="10" max="10" width="17" customWidth="1"/>
  </cols>
  <sheetData>
    <row r="1" spans="1:9" ht="24" x14ac:dyDescent="0.3">
      <c r="A1" s="15" t="s">
        <v>76</v>
      </c>
    </row>
    <row r="2" spans="1:9" x14ac:dyDescent="0.2">
      <c r="A2" s="56" t="s">
        <v>101</v>
      </c>
    </row>
    <row r="3" spans="1:9" ht="21" customHeight="1" x14ac:dyDescent="0.3">
      <c r="A3" s="87"/>
    </row>
    <row r="4" spans="1:9" x14ac:dyDescent="0.2">
      <c r="A4" s="2" t="s">
        <v>97</v>
      </c>
      <c r="B4" s="84">
        <v>44197</v>
      </c>
      <c r="C4" s="85">
        <v>44286</v>
      </c>
      <c r="D4" s="85">
        <v>44377</v>
      </c>
      <c r="E4" s="85">
        <v>44469</v>
      </c>
      <c r="F4" s="85">
        <v>44561</v>
      </c>
      <c r="G4" s="85">
        <v>44651</v>
      </c>
      <c r="H4" s="85">
        <v>44834</v>
      </c>
      <c r="I4" s="86">
        <v>44926</v>
      </c>
    </row>
    <row r="5" spans="1:9" x14ac:dyDescent="0.2">
      <c r="A5" s="69" t="s">
        <v>92</v>
      </c>
      <c r="B5" s="72">
        <v>25000</v>
      </c>
      <c r="C5" s="73">
        <f>B15</f>
        <v>5000</v>
      </c>
      <c r="D5" s="73">
        <f>C15</f>
        <v>680000</v>
      </c>
      <c r="E5" s="73">
        <f>D15</f>
        <v>155000</v>
      </c>
      <c r="F5" s="73">
        <f>E15</f>
        <v>147542.46575342468</v>
      </c>
      <c r="G5" s="73">
        <f>F15</f>
        <v>116932.87671232875</v>
      </c>
      <c r="H5" s="73">
        <f t="shared" ref="H5:I5" si="0">G15</f>
        <v>35526.712328767113</v>
      </c>
      <c r="I5" s="74">
        <f t="shared" si="0"/>
        <v>28850.410958904075</v>
      </c>
    </row>
    <row r="6" spans="1:9" x14ac:dyDescent="0.2">
      <c r="A6" s="70" t="s">
        <v>84</v>
      </c>
      <c r="B6" s="75"/>
      <c r="C6" s="76">
        <v>700000</v>
      </c>
      <c r="D6" s="76"/>
      <c r="E6" s="76"/>
      <c r="F6" s="76"/>
      <c r="G6" s="76"/>
      <c r="H6" s="76"/>
      <c r="I6" s="77"/>
    </row>
    <row r="7" spans="1:9" x14ac:dyDescent="0.2">
      <c r="A7" s="70" t="s">
        <v>85</v>
      </c>
      <c r="B7" s="75"/>
      <c r="C7" s="76"/>
      <c r="D7" s="76"/>
      <c r="E7" s="76">
        <v>600000</v>
      </c>
      <c r="F7" s="76">
        <v>800000</v>
      </c>
      <c r="G7" s="76">
        <v>230000</v>
      </c>
      <c r="H7" s="76"/>
      <c r="I7" s="77"/>
    </row>
    <row r="8" spans="1:9" x14ac:dyDescent="0.2">
      <c r="A8" s="70" t="s">
        <v>83</v>
      </c>
      <c r="B8" s="75"/>
      <c r="C8" s="76"/>
      <c r="D8" s="76"/>
      <c r="E8" s="76"/>
      <c r="F8" s="76"/>
      <c r="G8" s="76"/>
      <c r="H8" s="77">
        <v>400000</v>
      </c>
      <c r="I8" s="77"/>
    </row>
    <row r="9" spans="1:9" x14ac:dyDescent="0.2">
      <c r="A9" s="71" t="s">
        <v>89</v>
      </c>
      <c r="B9" s="78">
        <f>SUM(B5:B8)</f>
        <v>25000</v>
      </c>
      <c r="C9" s="79">
        <f>SUM(C5:C8)</f>
        <v>705000</v>
      </c>
      <c r="D9" s="79">
        <f>SUM(D5:D8)</f>
        <v>680000</v>
      </c>
      <c r="E9" s="79">
        <f>SUM(E5:E8)</f>
        <v>755000</v>
      </c>
      <c r="F9" s="79">
        <f>SUM(F5:F8)</f>
        <v>947542.46575342468</v>
      </c>
      <c r="G9" s="79">
        <f>SUM(G5:G8)</f>
        <v>346932.87671232875</v>
      </c>
      <c r="H9" s="79">
        <f>SUM(H5:H8)</f>
        <v>435526.71232876711</v>
      </c>
      <c r="I9" s="80">
        <f>SUM(I5:I8)</f>
        <v>28850.410958904075</v>
      </c>
    </row>
    <row r="10" spans="1:9" x14ac:dyDescent="0.2">
      <c r="A10" s="70"/>
      <c r="B10" s="75"/>
      <c r="C10" s="76"/>
      <c r="D10" s="76"/>
      <c r="E10" s="76"/>
      <c r="F10" s="76"/>
      <c r="G10" s="76"/>
      <c r="H10" s="76"/>
      <c r="I10" s="77"/>
    </row>
    <row r="11" spans="1:9" ht="68" customHeight="1" x14ac:dyDescent="0.2">
      <c r="A11" s="70" t="s">
        <v>96</v>
      </c>
      <c r="B11" s="81"/>
      <c r="C11" s="82" t="s">
        <v>90</v>
      </c>
      <c r="D11" s="82" t="s">
        <v>93</v>
      </c>
      <c r="E11" s="82" t="s">
        <v>91</v>
      </c>
      <c r="F11" s="82" t="s">
        <v>94</v>
      </c>
      <c r="G11" s="82" t="s">
        <v>98</v>
      </c>
      <c r="H11" s="82" t="s">
        <v>99</v>
      </c>
      <c r="I11" s="83"/>
    </row>
    <row r="12" spans="1:9" x14ac:dyDescent="0.2">
      <c r="A12" s="70" t="s">
        <v>86</v>
      </c>
      <c r="B12" s="75">
        <v>-20000</v>
      </c>
      <c r="C12" s="76">
        <v>-25000</v>
      </c>
      <c r="D12" s="76">
        <f>-1575000/3</f>
        <v>-525000</v>
      </c>
      <c r="E12" s="76">
        <f>-80000-1575000/3</f>
        <v>-605000</v>
      </c>
      <c r="F12" s="76">
        <f>-1575000/3</f>
        <v>-525000</v>
      </c>
      <c r="G12" s="76">
        <v>0</v>
      </c>
      <c r="H12" s="76">
        <v>0</v>
      </c>
      <c r="I12" s="77"/>
    </row>
    <row r="13" spans="1:9" x14ac:dyDescent="0.2">
      <c r="A13" s="70" t="s">
        <v>87</v>
      </c>
      <c r="B13" s="75"/>
      <c r="C13" s="76">
        <v>0</v>
      </c>
      <c r="D13" s="76">
        <v>0</v>
      </c>
      <c r="E13" s="76">
        <v>0</v>
      </c>
      <c r="F13" s="76">
        <v>-300000</v>
      </c>
      <c r="G13" s="76">
        <v>-300000</v>
      </c>
      <c r="H13" s="77">
        <v>-400000</v>
      </c>
      <c r="I13" s="88"/>
    </row>
    <row r="14" spans="1:9" x14ac:dyDescent="0.2">
      <c r="A14" s="70" t="s">
        <v>95</v>
      </c>
      <c r="B14" s="75">
        <f>(-SUM($B7:B7)*0.01625)*(C4-B4)/365</f>
        <v>0</v>
      </c>
      <c r="C14" s="76">
        <f>(-SUM($B7:C7)*0.01625)*(D4-C4)/365</f>
        <v>0</v>
      </c>
      <c r="D14" s="76">
        <f>(-SUM($B7:D7)*0.01625)*(E4-D4)/365</f>
        <v>0</v>
      </c>
      <c r="E14" s="76">
        <f>(-SUM($B7:E7)*0.01625)*(F4-E4)/365</f>
        <v>-2457.5342465753424</v>
      </c>
      <c r="F14" s="76">
        <f>(-SUM($B7:F7)*0.01625)*(G4-F4)/365</f>
        <v>-5609.58904109589</v>
      </c>
      <c r="G14" s="76">
        <f>(-SUM($B7:F7)*0.01625)*(H4-G4)/365</f>
        <v>-11406.164383561643</v>
      </c>
      <c r="H14" s="76">
        <f>(-SUM($B7:G7)*0.01625)*(I4-H4)/365</f>
        <v>-6676.3013698630139</v>
      </c>
      <c r="I14" s="77"/>
    </row>
    <row r="15" spans="1:9" ht="24" customHeight="1" x14ac:dyDescent="0.2">
      <c r="A15" s="71" t="s">
        <v>88</v>
      </c>
      <c r="B15" s="92">
        <f>B9+SUM(B12:B14)</f>
        <v>5000</v>
      </c>
      <c r="C15" s="92">
        <f>C9+SUM(C12:C14)</f>
        <v>680000</v>
      </c>
      <c r="D15" s="92">
        <f>D9+SUM(D12:D14)</f>
        <v>155000</v>
      </c>
      <c r="E15" s="92">
        <f>E9+SUM(E12:E14)</f>
        <v>147542.46575342468</v>
      </c>
      <c r="F15" s="92">
        <f>F9+SUM(F12:F14)</f>
        <v>116932.87671232875</v>
      </c>
      <c r="G15" s="92">
        <f>G9+SUM(G12:G14)</f>
        <v>35526.712328767113</v>
      </c>
      <c r="H15" s="92">
        <f>H9+SUM(H12:H14)</f>
        <v>28850.410958904075</v>
      </c>
      <c r="I15" s="92"/>
    </row>
    <row r="16" spans="1:9" x14ac:dyDescent="0.2">
      <c r="A16" s="89"/>
      <c r="B16" s="89"/>
      <c r="C16" s="90"/>
      <c r="D16" s="90"/>
      <c r="E16" s="90"/>
      <c r="F16" s="90"/>
      <c r="G16" s="91"/>
      <c r="H16" s="91"/>
      <c r="I16" s="91"/>
    </row>
    <row r="17" spans="3:6" x14ac:dyDescent="0.2">
      <c r="C17" s="68"/>
      <c r="D17" s="68"/>
      <c r="E17" s="68"/>
      <c r="F17" s="68"/>
    </row>
    <row r="18" spans="3:6" x14ac:dyDescent="0.2">
      <c r="C18" s="68"/>
      <c r="D18" s="68"/>
      <c r="E18" s="68"/>
      <c r="F18" s="68"/>
    </row>
    <row r="19" spans="3:6" x14ac:dyDescent="0.2">
      <c r="C19" s="68"/>
      <c r="D19" s="68"/>
      <c r="E19" s="68"/>
      <c r="F19" s="68"/>
    </row>
    <row r="20" spans="3:6" x14ac:dyDescent="0.2">
      <c r="C20" s="68"/>
      <c r="D20" s="68"/>
      <c r="E20" s="68"/>
      <c r="F20" s="68"/>
    </row>
    <row r="21" spans="3:6" x14ac:dyDescent="0.2">
      <c r="C21" s="68"/>
      <c r="D21" s="68"/>
      <c r="E21" s="68"/>
      <c r="F21" s="68"/>
    </row>
    <row r="22" spans="3:6" x14ac:dyDescent="0.2">
      <c r="C22" s="68"/>
      <c r="D22" s="68"/>
      <c r="E22" s="68"/>
      <c r="F22" s="68"/>
    </row>
    <row r="23" spans="3:6" x14ac:dyDescent="0.2">
      <c r="C23" s="68"/>
      <c r="D23" s="68"/>
      <c r="E23" s="68"/>
      <c r="F23" s="68"/>
    </row>
    <row r="24" spans="3:6" x14ac:dyDescent="0.2">
      <c r="C24" s="68"/>
      <c r="D24" s="68"/>
      <c r="E24" s="68"/>
      <c r="F24" s="68"/>
    </row>
    <row r="25" spans="3:6" x14ac:dyDescent="0.2">
      <c r="C25" s="68"/>
      <c r="D25" s="68"/>
      <c r="E25" s="68"/>
      <c r="F25" s="68"/>
    </row>
    <row r="26" spans="3:6" x14ac:dyDescent="0.2">
      <c r="C26" s="68"/>
      <c r="D26" s="68"/>
      <c r="E26" s="68"/>
      <c r="F26" s="68"/>
    </row>
    <row r="27" spans="3:6" x14ac:dyDescent="0.2">
      <c r="C27" s="68"/>
      <c r="D27" s="68"/>
      <c r="E27" s="68"/>
      <c r="F27" s="68"/>
    </row>
    <row r="28" spans="3:6" x14ac:dyDescent="0.2">
      <c r="C28" s="68"/>
      <c r="D28" s="68"/>
      <c r="E28" s="68"/>
      <c r="F28" s="68"/>
    </row>
    <row r="29" spans="3:6" x14ac:dyDescent="0.2">
      <c r="C29" s="68"/>
      <c r="D29" s="68"/>
      <c r="E29" s="68"/>
      <c r="F29" s="68"/>
    </row>
    <row r="30" spans="3:6" x14ac:dyDescent="0.2">
      <c r="C30" s="68"/>
      <c r="D30" s="68"/>
      <c r="E30" s="68"/>
      <c r="F30" s="68"/>
    </row>
    <row r="31" spans="3:6" x14ac:dyDescent="0.2">
      <c r="C31" s="68"/>
      <c r="D31" s="68"/>
    </row>
    <row r="32" spans="3:6" x14ac:dyDescent="0.2">
      <c r="C32" s="68"/>
      <c r="D32" s="68"/>
    </row>
    <row r="33" spans="3:4" x14ac:dyDescent="0.2">
      <c r="C33" s="68"/>
      <c r="D33" s="68"/>
    </row>
    <row r="34" spans="3:4" x14ac:dyDescent="0.2">
      <c r="C34" s="68"/>
      <c r="D34" s="68"/>
    </row>
    <row r="35" spans="3:4" x14ac:dyDescent="0.2">
      <c r="C35" s="68"/>
      <c r="D35" s="68"/>
    </row>
    <row r="36" spans="3:4" x14ac:dyDescent="0.2">
      <c r="C36" s="68"/>
      <c r="D36" s="68"/>
    </row>
    <row r="37" spans="3:4" x14ac:dyDescent="0.2">
      <c r="C37" s="68"/>
      <c r="D37" s="68"/>
    </row>
    <row r="38" spans="3:4" x14ac:dyDescent="0.2">
      <c r="C38" s="68"/>
      <c r="D38" s="68"/>
    </row>
    <row r="39" spans="3:4" x14ac:dyDescent="0.2">
      <c r="C39" s="68"/>
      <c r="D39" s="68"/>
    </row>
    <row r="40" spans="3:4" x14ac:dyDescent="0.2">
      <c r="C40" s="68"/>
      <c r="D40" s="68"/>
    </row>
    <row r="41" spans="3:4" x14ac:dyDescent="0.2">
      <c r="C41" s="68"/>
      <c r="D41" s="68"/>
    </row>
    <row r="42" spans="3:4" x14ac:dyDescent="0.2">
      <c r="C42" s="68"/>
      <c r="D42" s="68"/>
    </row>
    <row r="43" spans="3:4" x14ac:dyDescent="0.2">
      <c r="C43" s="68"/>
      <c r="D43" s="68"/>
    </row>
    <row r="44" spans="3:4" x14ac:dyDescent="0.2">
      <c r="C44" s="68"/>
      <c r="D44" s="68"/>
    </row>
    <row r="45" spans="3:4" x14ac:dyDescent="0.2">
      <c r="C45" s="68"/>
      <c r="D45" s="68"/>
    </row>
    <row r="46" spans="3:4" x14ac:dyDescent="0.2">
      <c r="C46" s="68"/>
      <c r="D46" s="68"/>
    </row>
    <row r="47" spans="3:4" x14ac:dyDescent="0.2">
      <c r="C47" s="68"/>
      <c r="D47" s="68"/>
    </row>
    <row r="48" spans="3:4" x14ac:dyDescent="0.2">
      <c r="C48" s="68"/>
      <c r="D48" s="68"/>
    </row>
    <row r="49" spans="3:4" x14ac:dyDescent="0.2">
      <c r="C49" s="68"/>
      <c r="D49" s="68"/>
    </row>
    <row r="50" spans="3:4" x14ac:dyDescent="0.2">
      <c r="C50" s="68"/>
      <c r="D50" s="6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Einnahmen konservativ</vt:lpstr>
      <vt:lpstr>Einnahmen optimistisch</vt:lpstr>
      <vt:lpstr>Business Case</vt:lpstr>
      <vt:lpstr>Liquiditätsplanung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Thomas Tscherrig</cp:lastModifiedBy>
  <cp:lastPrinted>2019-09-22T19:48:35Z</cp:lastPrinted>
  <dcterms:created xsi:type="dcterms:W3CDTF">2017-07-03T07:42:20Z</dcterms:created>
  <dcterms:modified xsi:type="dcterms:W3CDTF">2021-01-26T22:20:00Z</dcterms:modified>
</cp:coreProperties>
</file>